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defaultThemeVersion="124226"/>
  <mc:AlternateContent xmlns:mc="http://schemas.openxmlformats.org/markup-compatibility/2006">
    <mc:Choice Requires="x15">
      <x15ac:absPath xmlns:x15ac="http://schemas.microsoft.com/office/spreadsheetml/2010/11/ac" url="F:\INFORMACIÓN OFICINA\ALEX L\Pliegos\2020\ADECUACIONES PARA INFRAESTRUCTURA TECNOLÓGICA\EVALUACIÓN\"/>
    </mc:Choice>
  </mc:AlternateContent>
  <xr:revisionPtr revIDLastSave="0" documentId="13_ncr:1_{314956FC-5D53-4FF1-BDD9-FE29CDE18E67}" xr6:coauthVersionLast="45" xr6:coauthVersionMax="45" xr10:uidLastSave="{00000000-0000-0000-0000-000000000000}"/>
  <bookViews>
    <workbookView xWindow="-120" yWindow="-120" windowWidth="20730" windowHeight="11160" xr2:uid="{00000000-000D-0000-FFFF-FFFF00000000}"/>
  </bookViews>
  <sheets>
    <sheet name="VERIFICACIÓN TÉCNICA" sheetId="57" r:id="rId1"/>
    <sheet name="VTE" sheetId="33" r:id="rId2"/>
    <sheet name="CALIFICACION PERSONAL" sheetId="60" r:id="rId3"/>
    <sheet name="CORREC. ARITM. GENERAL" sheetId="65" state="hidden" r:id="rId4"/>
    <sheet name="HABILITANTES" sheetId="7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 hidden="1">[1]PRESUP.!#REF!</definedName>
    <definedName name="_MatMult_AxB" hidden="1">[1]PRESUP.!#REF!</definedName>
    <definedName name="_MatMult_B" hidden="1">[1]PRESUP.!#REF!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as">[2]Insumos!$A$4:$A$1772</definedName>
    <definedName name="ACERO_DE_REFUERZO_60000">'[3]Acero de 60.000psi'!$I$53</definedName>
    <definedName name="ACTA">'[4]ACTA 01 OBRA'!#REF!</definedName>
    <definedName name="ACTIVIDADES">#REF!</definedName>
    <definedName name="Adm">#REF!</definedName>
    <definedName name="ADMI">#REF!</definedName>
    <definedName name="aiu">#REF!</definedName>
    <definedName name="alam">#REF!</definedName>
    <definedName name="AMARRE">'[5]LISTA DE MATERIALES'!$D$11</definedName>
    <definedName name="ANTICIPO">#REF!</definedName>
    <definedName name="aplique">#REF!</definedName>
    <definedName name="_xlnm.Consolidate_Area">#N/A</definedName>
    <definedName name="_xlnm.Print_Area" localSheetId="2">'CALIFICACION PERSONAL'!$A$1:$I$51</definedName>
    <definedName name="_xlnm.Print_Area" localSheetId="0">'VERIFICACIÓN TÉCNICA'!$A$1:$F$95</definedName>
    <definedName name="_xlnm.Print_Area" localSheetId="1">VTE!$A$1:$M$72</definedName>
    <definedName name="AUI">#REF!</definedName>
    <definedName name="AyudanteHR">[6]F.Prestacional!$E$10</definedName>
    <definedName name="b" hidden="1">[1]PRESUP.!#REF!</definedName>
    <definedName name="base">[7]BaseDatos!$A$2:$F$505</definedName>
    <definedName name="BASICOS">#REF!</definedName>
    <definedName name="BB" hidden="1">[1]PRESUP.!#REF!</definedName>
    <definedName name="BudgetTab">#REF!</definedName>
    <definedName name="BuiltIn_Print_Area">#REF!</definedName>
    <definedName name="BuiltIn_Print_Area___2">#REF!</definedName>
    <definedName name="BuiltIn_Print_Titles">#REF!</definedName>
    <definedName name="C_">#REF!</definedName>
    <definedName name="C_Apus">'[8]1_Preliminares'!$A$26</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 hidden="1">[1]PRESUP.!#REF!</definedName>
    <definedName name="ccc" hidden="1">[1]PRESUP.!#REF!</definedName>
    <definedName name="CCTO16">#REF!</definedName>
    <definedName name="CCTO17">#REF!</definedName>
    <definedName name="CCTO21">#REF!</definedName>
    <definedName name="CCTON">#REF!</definedName>
    <definedName name="CDCT">[6]PRESUPUESTO!$A$2</definedName>
    <definedName name="CeldCanti">#REF!</definedName>
    <definedName name="CELDVRUNIT1">#REF!</definedName>
    <definedName name="CG">[9]ANALISIS!$F$12</definedName>
    <definedName name="CICLOPEO">#REF!</definedName>
    <definedName name="CIndPresup">#REF!</definedName>
    <definedName name="Ciudades">[10]Insumos!$B$1813:$B$1912</definedName>
    <definedName name="CL">#REF!</definedName>
    <definedName name="CÑ">[9]ANALISIS!$F$12</definedName>
    <definedName name="Codigo">[8]Insumos!$A$4:$A$1772</definedName>
    <definedName name="Codigo_M.Obra">[8]M.Obra!$A$35:$A$43</definedName>
    <definedName name="CONCRETO_2000">'[3]Concreto de 2000 psi'!$I$53</definedName>
    <definedName name="CONJ">#REF!</definedName>
    <definedName name="CONL">#REF!</definedName>
    <definedName name="CONRES">#REF!</definedName>
    <definedName name="CONSTRUCTOR">#REF!</definedName>
    <definedName name="contratista">[9]ANALISIS!$F$45</definedName>
    <definedName name="CONTREC">#REF!</definedName>
    <definedName name="COSTIND">#REF!</definedName>
    <definedName name="CR">#REF!</definedName>
    <definedName name="Cuadrillas">[11]Cuadrillas!$A$11:$I$77</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#REF!</definedName>
    <definedName name="ELECTRICA">'[12]3.PRESUP. ELECTRICO'!$A$4:$G$212</definedName>
    <definedName name="emergencia" hidden="1">[1]PRESUP.!#REF!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#REF!</definedName>
    <definedName name="Export" localSheetId="2" hidden="1">{"'Hoja1'!$A$1:$I$70"}</definedName>
    <definedName name="Export" localSheetId="3" hidden="1">{"'Hoja1'!$A$1:$I$70"}</definedName>
    <definedName name="Export" localSheetId="0" hidden="1">{"'Hoja1'!$A$1:$I$70"}</definedName>
    <definedName name="Export" hidden="1">{"'Hoja1'!$A$1:$I$70"}</definedName>
    <definedName name="FFFFF">'[16]LISTA DE MATERIALES'!$D$11</definedName>
    <definedName name="FinPpto">#REF!</definedName>
    <definedName name="FORMALETA">#REF!</definedName>
    <definedName name="FormLinPresup">#REF!</definedName>
    <definedName name="formula" localSheetId="2">'[17]VERIFICACION TECNICA'!$A$34:$B$37</definedName>
    <definedName name="formula" localSheetId="3">'[18]VERIFICACION TECNICA'!$A$34:$B$37</definedName>
    <definedName name="formula" localSheetId="0">'VERIFICACIÓN TÉCNICA'!$A$64:$B$67</definedName>
    <definedName name="formula">#REF!</definedName>
    <definedName name="GACETA">#REF!</definedName>
    <definedName name="gfr">#REF!</definedName>
    <definedName name="GUADUA">'[5]LISTA DE MATERIALES'!$D$49</definedName>
    <definedName name="HERRMENOR">'[5]LISTA DE MATERIALES'!$D$50</definedName>
    <definedName name="HTML_CodePage" hidden="1">1252</definedName>
    <definedName name="HTML_Control" localSheetId="2" hidden="1">{"'Hoja1'!$A$1:$I$70"}</definedName>
    <definedName name="HTML_Control" localSheetId="3"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hidden="1">[1]PRESUP.!#REF!</definedName>
    <definedName name="iii" hidden="1">[1]PRESUP.!#REF!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KIU">[8]Presup_Cancha!$J$15:$J$20</definedName>
    <definedName name="l">[19]Insumos!$A$4:$A$1761</definedName>
    <definedName name="L_">#REF!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#REF!,#REF!,#REF!,#REF!,#REF!,#REF!,#REF!</definedName>
    <definedName name="ML">#REF!,#REF!,#REF!,#REF!,#REF!,#REF!,#REF!</definedName>
    <definedName name="MOCERRPOLISOMBRA">'[5]MANO DE OBRA'!$D$9</definedName>
    <definedName name="MOLOCALIZYREP">'[5]MANO DE OBRA'!$D$38</definedName>
    <definedName name="MORTERO">#REF!</definedName>
    <definedName name="MORTERO24">#REF!</definedName>
    <definedName name="NI">#REF!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0">#REF!</definedName>
    <definedName name="PA">[11]PRESUPUESTO!#REF!</definedName>
    <definedName name="pasamanos">#REF!</definedName>
    <definedName name="PB">[11]PRESUPUESTO!#REF!</definedName>
    <definedName name="PC">[11]PRESUPUESTO!#REF!</definedName>
    <definedName name="PE">[11]PRESUPUESTO!#REF!</definedName>
    <definedName name="PL">[11]PRESUPUESTO!#REF!</definedName>
    <definedName name="PLAZO">#REF!</definedName>
    <definedName name="Plegable">#REF!</definedName>
    <definedName name="po">#REF!</definedName>
    <definedName name="POLISOMBRA">'[5]LISTA DE MATERIALES'!$D$78</definedName>
    <definedName name="PRECIOS">#REF!</definedName>
    <definedName name="PROGRAMA">'[20]Planes Validar'!$B$2:$B$7</definedName>
    <definedName name="PUESTA" hidden="1">[1]PRESUP.!#REF!</definedName>
    <definedName name="PUNTILLA2">'[5]LISTA DE MATERIALES'!$D$82</definedName>
    <definedName name="q">#REF!</definedName>
    <definedName name="q_t_">#REF!</definedName>
    <definedName name="q0">#REF!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[11]PRESUPUESTO!#REF!</definedName>
    <definedName name="Salarios">#REF!</definedName>
    <definedName name="SB">[11]PRESUPUESTO!#REF!</definedName>
    <definedName name="SbtPpto">#REF!</definedName>
    <definedName name="SC">[11]PRESUPUESTO!#REF!</definedName>
    <definedName name="SE">[11]PRESUPUESTO!#REF!</definedName>
    <definedName name="SELECCION">[20]Soluciones!$B$7</definedName>
    <definedName name="SG">[9]ANALISIS!#REF!</definedName>
    <definedName name="SL">#REF!</definedName>
    <definedName name="SOLADO">#REF!</definedName>
    <definedName name="SR">#REF!</definedName>
    <definedName name="SUBPRODUCTOS">#REF!</definedName>
    <definedName name="SUBTOTAL">#REF!</definedName>
    <definedName name="SUBTOTALMAT">'[11]2,2,6,1 Pilotes 0,30'!$I$19</definedName>
    <definedName name="sumideros">[9]ANALISIS!#REF!</definedName>
    <definedName name="SUMJ">#REF!</definedName>
    <definedName name="Summary">#REF!</definedName>
    <definedName name="SUNREC">#REF!</definedName>
    <definedName name="t_">#REF!</definedName>
    <definedName name="TA">[11]PRESUPUESTO!#REF!</definedName>
    <definedName name="TB">[11]PRESUPUESTO!#REF!</definedName>
    <definedName name="TC">[11]PRESUPUESTO!#REF!</definedName>
    <definedName name="TE">[11]PRESUPUESTO!#REF!</definedName>
    <definedName name="Títulos">'[21]062'!$A$1:$G$7</definedName>
    <definedName name="_xlnm.Print_Titles" localSheetId="2">'CALIFICACION PERSONAL'!$A:$B,'CALIFICACION PERSONAL'!$1:$11</definedName>
    <definedName name="_xlnm.Print_Titles" localSheetId="0">'VERIFICACIÓN TÉCNICA'!$A:$B,'VERIFICACIÓN TÉCNICA'!$1:$11</definedName>
    <definedName name="_xlnm.Print_Titles" localSheetId="1">VTE!$A:$E,VTE!$1:$18</definedName>
    <definedName name="TL">[11]PRESUPUESTO!#REF!</definedName>
    <definedName name="TOT">#REF!</definedName>
    <definedName name="TotalAIU">[6]PRESUPUESTO!$F$26</definedName>
    <definedName name="Transporte">[11]Trans!$A$12:$I$65</definedName>
    <definedName name="TTA">[11]PRESUPUESTO!#REF!</definedName>
    <definedName name="TTB">[11]PRESUPUESTO!#REF!</definedName>
    <definedName name="TTC">[11]PRESUPUESTO!#REF!</definedName>
    <definedName name="TTE">[11]PRESUPUESTO!#REF!</definedName>
    <definedName name="TTL">[11]PRESUPUESTO!#REF!</definedName>
    <definedName name="TtlCD">#REF!</definedName>
    <definedName name="TtlCDCronog">[6]CRONOGRAMA!$G$21</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PPTO">[6]PRESUPUESTO!$G$28</definedName>
    <definedName name="VRTTLUNDS">#REF!</definedName>
    <definedName name="VrUtilidad">#REF!</definedName>
    <definedName name="W">[22]Mat!$A$11:$A$1041</definedName>
    <definedName name="X">#REF!</definedName>
    <definedName name="XXX">'[16]MANO DE OBRA'!$D$38</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60" l="1"/>
  <c r="C24" i="60"/>
  <c r="K33" i="33" l="1"/>
  <c r="K21" i="33"/>
  <c r="Q229" i="65" l="1"/>
  <c r="S220" i="65"/>
  <c r="R220" i="65"/>
  <c r="S219" i="65"/>
  <c r="R219" i="65"/>
  <c r="S216" i="65"/>
  <c r="R216" i="65"/>
  <c r="S215" i="65"/>
  <c r="R215" i="65"/>
  <c r="S214" i="65"/>
  <c r="R214" i="65"/>
  <c r="S213" i="65"/>
  <c r="R213" i="65"/>
  <c r="S212" i="65"/>
  <c r="R212" i="65"/>
  <c r="S211" i="65"/>
  <c r="R211" i="65"/>
  <c r="S210" i="65"/>
  <c r="R210" i="65"/>
  <c r="S209" i="65"/>
  <c r="R209" i="65"/>
  <c r="S208" i="65"/>
  <c r="R208" i="65"/>
  <c r="S207" i="65"/>
  <c r="R207" i="65"/>
  <c r="S206" i="65"/>
  <c r="R206" i="65"/>
  <c r="S203" i="65"/>
  <c r="R203" i="65"/>
  <c r="S202" i="65"/>
  <c r="R202" i="65"/>
  <c r="S201" i="65"/>
  <c r="R201" i="65"/>
  <c r="S200" i="65"/>
  <c r="R200" i="65"/>
  <c r="S197" i="65"/>
  <c r="R197" i="65"/>
  <c r="S196" i="65"/>
  <c r="R196" i="65"/>
  <c r="S195" i="65"/>
  <c r="R195" i="65"/>
  <c r="S194" i="65"/>
  <c r="R194" i="65"/>
  <c r="S193" i="65"/>
  <c r="R193" i="65"/>
  <c r="S190" i="65"/>
  <c r="R190" i="65"/>
  <c r="S189" i="65"/>
  <c r="R189" i="65"/>
  <c r="S188" i="65"/>
  <c r="R188" i="65"/>
  <c r="S187" i="65"/>
  <c r="R187" i="65"/>
  <c r="S186" i="65"/>
  <c r="R186" i="65"/>
  <c r="S182" i="65"/>
  <c r="R182" i="65"/>
  <c r="S181" i="65"/>
  <c r="R181" i="65"/>
  <c r="S180" i="65"/>
  <c r="R180" i="65"/>
  <c r="S179" i="65"/>
  <c r="R179" i="65"/>
  <c r="S178" i="65"/>
  <c r="R178" i="65"/>
  <c r="S177" i="65"/>
  <c r="R177" i="65"/>
  <c r="S176" i="65"/>
  <c r="R176" i="65"/>
  <c r="S175" i="65"/>
  <c r="R175" i="65"/>
  <c r="S172" i="65"/>
  <c r="R172" i="65"/>
  <c r="S171" i="65"/>
  <c r="R171" i="65"/>
  <c r="S170" i="65"/>
  <c r="R170" i="65"/>
  <c r="S169" i="65"/>
  <c r="R169" i="65"/>
  <c r="S168" i="65"/>
  <c r="R168" i="65"/>
  <c r="S167" i="65"/>
  <c r="R167" i="65"/>
  <c r="S166" i="65"/>
  <c r="R166" i="65"/>
  <c r="S162" i="65"/>
  <c r="R162" i="65"/>
  <c r="S161" i="65"/>
  <c r="R161" i="65"/>
  <c r="S160" i="65"/>
  <c r="R160" i="65"/>
  <c r="S159" i="65"/>
  <c r="R159" i="65"/>
  <c r="S158" i="65"/>
  <c r="R158" i="65"/>
  <c r="S157" i="65"/>
  <c r="R157" i="65"/>
  <c r="S156" i="65"/>
  <c r="R156" i="65"/>
  <c r="S155" i="65"/>
  <c r="R155" i="65"/>
  <c r="S154" i="65"/>
  <c r="R154" i="65"/>
  <c r="S153" i="65"/>
  <c r="R153" i="65"/>
  <c r="S152" i="65"/>
  <c r="R152" i="65"/>
  <c r="S149" i="65"/>
  <c r="R149" i="65"/>
  <c r="S148" i="65"/>
  <c r="R148" i="65"/>
  <c r="S147" i="65"/>
  <c r="R147" i="65"/>
  <c r="S146" i="65"/>
  <c r="R146" i="65"/>
  <c r="S145" i="65"/>
  <c r="R145" i="65"/>
  <c r="S144" i="65"/>
  <c r="R144" i="65"/>
  <c r="S143" i="65"/>
  <c r="R143" i="65"/>
  <c r="S142" i="65"/>
  <c r="R142" i="65"/>
  <c r="S139" i="65"/>
  <c r="R139" i="65"/>
  <c r="S138" i="65"/>
  <c r="R138" i="65"/>
  <c r="S137" i="65"/>
  <c r="R137" i="65"/>
  <c r="S136" i="65"/>
  <c r="R136" i="65"/>
  <c r="S135" i="65"/>
  <c r="R135" i="65"/>
  <c r="S134" i="65"/>
  <c r="R134" i="65"/>
  <c r="S133" i="65"/>
  <c r="R133" i="65"/>
  <c r="S132" i="65"/>
  <c r="R132" i="65"/>
  <c r="S128" i="65"/>
  <c r="R128" i="65"/>
  <c r="S127" i="65"/>
  <c r="R127" i="65"/>
  <c r="S126" i="65"/>
  <c r="R126" i="65"/>
  <c r="S125" i="65"/>
  <c r="R125" i="65"/>
  <c r="S124" i="65"/>
  <c r="R124" i="65"/>
  <c r="S123" i="65"/>
  <c r="R123" i="65"/>
  <c r="S122" i="65"/>
  <c r="R122" i="65"/>
  <c r="S121" i="65"/>
  <c r="R121" i="65"/>
  <c r="S120" i="65"/>
  <c r="R120" i="65"/>
  <c r="S119" i="65"/>
  <c r="R119" i="65"/>
  <c r="S118" i="65"/>
  <c r="R118" i="65"/>
  <c r="S115" i="65"/>
  <c r="R115" i="65"/>
  <c r="S114" i="65"/>
  <c r="R114" i="65"/>
  <c r="S113" i="65"/>
  <c r="R113" i="65"/>
  <c r="S112" i="65"/>
  <c r="R112" i="65"/>
  <c r="S111" i="65"/>
  <c r="R111" i="65"/>
  <c r="S110" i="65"/>
  <c r="R110" i="65"/>
  <c r="S109" i="65"/>
  <c r="R109" i="65"/>
  <c r="S108" i="65"/>
  <c r="R108" i="65"/>
  <c r="S107" i="65"/>
  <c r="R107" i="65"/>
  <c r="S106" i="65"/>
  <c r="R106" i="65"/>
  <c r="S105" i="65"/>
  <c r="R105" i="65"/>
  <c r="S104" i="65"/>
  <c r="R104" i="65"/>
  <c r="S100" i="65"/>
  <c r="R100" i="65"/>
  <c r="S99" i="65"/>
  <c r="R99" i="65"/>
  <c r="S98" i="65"/>
  <c r="R98" i="65"/>
  <c r="S97" i="65"/>
  <c r="R97" i="65"/>
  <c r="S96" i="65"/>
  <c r="R96" i="65"/>
  <c r="S95" i="65"/>
  <c r="R95" i="65"/>
  <c r="S94" i="65"/>
  <c r="R94" i="65"/>
  <c r="S93" i="65"/>
  <c r="R93" i="65"/>
  <c r="S92" i="65"/>
  <c r="R92" i="65"/>
  <c r="S91" i="65"/>
  <c r="R91" i="65"/>
  <c r="S90" i="65"/>
  <c r="R90" i="65"/>
  <c r="S89" i="65"/>
  <c r="R89" i="65"/>
  <c r="S86" i="65"/>
  <c r="R86" i="65"/>
  <c r="S85" i="65"/>
  <c r="R85" i="65"/>
  <c r="S84" i="65"/>
  <c r="R84" i="65"/>
  <c r="S83" i="65"/>
  <c r="R83" i="65"/>
  <c r="S82" i="65"/>
  <c r="R82" i="65"/>
  <c r="S81" i="65"/>
  <c r="R81" i="65"/>
  <c r="S80" i="65"/>
  <c r="R80" i="65"/>
  <c r="S79" i="65"/>
  <c r="R79" i="65"/>
  <c r="S76" i="65"/>
  <c r="R76" i="65"/>
  <c r="S75" i="65"/>
  <c r="R75" i="65"/>
  <c r="S74" i="65"/>
  <c r="R74" i="65"/>
  <c r="S73" i="65"/>
  <c r="R73" i="65"/>
  <c r="S72" i="65"/>
  <c r="R72" i="65"/>
  <c r="S69" i="65"/>
  <c r="R69" i="65"/>
  <c r="S66" i="65"/>
  <c r="R66" i="65"/>
  <c r="S65" i="65"/>
  <c r="R65" i="65"/>
  <c r="S64" i="65"/>
  <c r="R64" i="65"/>
  <c r="S63" i="65"/>
  <c r="R63" i="65"/>
  <c r="S62" i="65"/>
  <c r="R62" i="65"/>
  <c r="S61" i="65"/>
  <c r="R61" i="65"/>
  <c r="S60" i="65"/>
  <c r="R60" i="65"/>
  <c r="S56" i="65"/>
  <c r="R56" i="65"/>
  <c r="S55" i="65"/>
  <c r="R55" i="65"/>
  <c r="S54" i="65"/>
  <c r="R54" i="65"/>
  <c r="S53" i="65"/>
  <c r="R53" i="65"/>
  <c r="S52" i="65"/>
  <c r="R52" i="65"/>
  <c r="S51" i="65"/>
  <c r="R51" i="65"/>
  <c r="S50" i="65"/>
  <c r="R50" i="65"/>
  <c r="S49" i="65"/>
  <c r="R49" i="65"/>
  <c r="S48" i="65"/>
  <c r="R48" i="65"/>
  <c r="S47" i="65"/>
  <c r="R47" i="65"/>
  <c r="S44" i="65"/>
  <c r="R44" i="65"/>
  <c r="S43" i="65"/>
  <c r="R43" i="65"/>
  <c r="S42" i="65"/>
  <c r="R42" i="65"/>
  <c r="S41" i="65"/>
  <c r="R41" i="65"/>
  <c r="S40" i="65"/>
  <c r="R40" i="65"/>
  <c r="S39" i="65"/>
  <c r="R39" i="65"/>
  <c r="S38" i="65"/>
  <c r="R38" i="65"/>
  <c r="S37" i="65"/>
  <c r="R37" i="65"/>
  <c r="S36" i="65"/>
  <c r="R36" i="65"/>
  <c r="S35" i="65"/>
  <c r="R35" i="65"/>
  <c r="S34" i="65"/>
  <c r="R34" i="65"/>
  <c r="S33" i="65"/>
  <c r="R33" i="65"/>
  <c r="S32" i="65"/>
  <c r="R32" i="65"/>
  <c r="S29" i="65"/>
  <c r="R29" i="65"/>
  <c r="S28" i="65"/>
  <c r="R28" i="65"/>
  <c r="S25" i="65"/>
  <c r="R25" i="65"/>
  <c r="S24" i="65"/>
  <c r="R24" i="65"/>
  <c r="S23" i="65"/>
  <c r="R23" i="65"/>
  <c r="S22" i="65"/>
  <c r="R22" i="65"/>
  <c r="S21" i="65"/>
  <c r="R21" i="65"/>
  <c r="S20" i="65"/>
  <c r="R20" i="65"/>
  <c r="S17" i="65"/>
  <c r="R17" i="65"/>
  <c r="S16" i="65"/>
  <c r="R16" i="65"/>
  <c r="S15" i="65"/>
  <c r="R15" i="65"/>
  <c r="S14" i="65"/>
  <c r="R14" i="65"/>
  <c r="S13" i="65"/>
  <c r="R13" i="65"/>
  <c r="S12" i="65"/>
  <c r="R12" i="65"/>
  <c r="S11" i="65"/>
  <c r="R11" i="65"/>
  <c r="S10" i="65"/>
  <c r="R10" i="65"/>
  <c r="S9" i="65"/>
  <c r="R9" i="65"/>
  <c r="R223" i="65" l="1"/>
  <c r="R225" i="65" s="1"/>
  <c r="R237" i="65" s="1"/>
  <c r="R227" i="65"/>
  <c r="R226" i="65"/>
  <c r="R228" i="65"/>
  <c r="R230" i="65" l="1"/>
  <c r="R236" i="65"/>
  <c r="R229" i="65"/>
  <c r="R231" i="65" s="1"/>
  <c r="R241" i="65" s="1"/>
  <c r="R244" i="65" s="1"/>
  <c r="R245" i="65" s="1"/>
  <c r="S245" i="65" s="1"/>
  <c r="A3" i="75" l="1"/>
  <c r="N229" i="65" l="1"/>
  <c r="P220" i="65"/>
  <c r="O220" i="65"/>
  <c r="P219" i="65"/>
  <c r="O219" i="65"/>
  <c r="P216" i="65"/>
  <c r="O216" i="65"/>
  <c r="P215" i="65"/>
  <c r="O215" i="65"/>
  <c r="P214" i="65"/>
  <c r="O214" i="65"/>
  <c r="P213" i="65"/>
  <c r="O213" i="65"/>
  <c r="P212" i="65"/>
  <c r="O212" i="65"/>
  <c r="P211" i="65"/>
  <c r="O211" i="65"/>
  <c r="P210" i="65"/>
  <c r="O210" i="65"/>
  <c r="P209" i="65"/>
  <c r="O209" i="65"/>
  <c r="P208" i="65"/>
  <c r="O208" i="65"/>
  <c r="P207" i="65"/>
  <c r="O207" i="65"/>
  <c r="P206" i="65"/>
  <c r="O206" i="65"/>
  <c r="P203" i="65"/>
  <c r="O203" i="65"/>
  <c r="P202" i="65"/>
  <c r="O202" i="65"/>
  <c r="P201" i="65"/>
  <c r="O201" i="65"/>
  <c r="P200" i="65"/>
  <c r="O200" i="65"/>
  <c r="P197" i="65"/>
  <c r="O197" i="65"/>
  <c r="P196" i="65"/>
  <c r="O196" i="65"/>
  <c r="P195" i="65"/>
  <c r="O195" i="65"/>
  <c r="P194" i="65"/>
  <c r="O194" i="65"/>
  <c r="P193" i="65"/>
  <c r="O193" i="65"/>
  <c r="P190" i="65"/>
  <c r="O190" i="65"/>
  <c r="P189" i="65"/>
  <c r="O189" i="65"/>
  <c r="P188" i="65"/>
  <c r="O188" i="65"/>
  <c r="P187" i="65"/>
  <c r="O187" i="65"/>
  <c r="P186" i="65"/>
  <c r="O186" i="65"/>
  <c r="P182" i="65"/>
  <c r="O182" i="65"/>
  <c r="P181" i="65"/>
  <c r="O181" i="65"/>
  <c r="P180" i="65"/>
  <c r="O180" i="65"/>
  <c r="P179" i="65"/>
  <c r="O179" i="65"/>
  <c r="P178" i="65"/>
  <c r="O178" i="65"/>
  <c r="P177" i="65"/>
  <c r="O177" i="65"/>
  <c r="P176" i="65"/>
  <c r="O176" i="65"/>
  <c r="P175" i="65"/>
  <c r="O175" i="65"/>
  <c r="P172" i="65"/>
  <c r="O172" i="65"/>
  <c r="P171" i="65"/>
  <c r="O171" i="65"/>
  <c r="P170" i="65"/>
  <c r="O170" i="65"/>
  <c r="P169" i="65"/>
  <c r="O169" i="65"/>
  <c r="P168" i="65"/>
  <c r="O168" i="65"/>
  <c r="P167" i="65"/>
  <c r="O167" i="65"/>
  <c r="P166" i="65"/>
  <c r="O166" i="65"/>
  <c r="P162" i="65"/>
  <c r="O162" i="65"/>
  <c r="P161" i="65"/>
  <c r="O161" i="65"/>
  <c r="P160" i="65"/>
  <c r="O160" i="65"/>
  <c r="P159" i="65"/>
  <c r="O159" i="65"/>
  <c r="P158" i="65"/>
  <c r="O158" i="65"/>
  <c r="P157" i="65"/>
  <c r="O157" i="65"/>
  <c r="P156" i="65"/>
  <c r="O156" i="65"/>
  <c r="P155" i="65"/>
  <c r="O155" i="65"/>
  <c r="P154" i="65"/>
  <c r="O154" i="65"/>
  <c r="P153" i="65"/>
  <c r="O153" i="65"/>
  <c r="P152" i="65"/>
  <c r="O152" i="65"/>
  <c r="P149" i="65"/>
  <c r="O149" i="65"/>
  <c r="P148" i="65"/>
  <c r="O148" i="65"/>
  <c r="P147" i="65"/>
  <c r="O147" i="65"/>
  <c r="P146" i="65"/>
  <c r="O146" i="65"/>
  <c r="P145" i="65"/>
  <c r="O145" i="65"/>
  <c r="P144" i="65"/>
  <c r="O144" i="65"/>
  <c r="P143" i="65"/>
  <c r="O143" i="65"/>
  <c r="P142" i="65"/>
  <c r="O142" i="65"/>
  <c r="P139" i="65"/>
  <c r="O139" i="65"/>
  <c r="P138" i="65"/>
  <c r="O138" i="65"/>
  <c r="P137" i="65"/>
  <c r="O137" i="65"/>
  <c r="P136" i="65"/>
  <c r="O136" i="65"/>
  <c r="P135" i="65"/>
  <c r="O135" i="65"/>
  <c r="P134" i="65"/>
  <c r="O134" i="65"/>
  <c r="P133" i="65"/>
  <c r="O133" i="65"/>
  <c r="P132" i="65"/>
  <c r="O132" i="65"/>
  <c r="P128" i="65"/>
  <c r="O128" i="65"/>
  <c r="P127" i="65"/>
  <c r="O127" i="65"/>
  <c r="P126" i="65"/>
  <c r="O126" i="65"/>
  <c r="P125" i="65"/>
  <c r="O125" i="65"/>
  <c r="P124" i="65"/>
  <c r="O124" i="65"/>
  <c r="P123" i="65"/>
  <c r="O123" i="65"/>
  <c r="P122" i="65"/>
  <c r="O122" i="65"/>
  <c r="P121" i="65"/>
  <c r="O121" i="65"/>
  <c r="P120" i="65"/>
  <c r="O120" i="65"/>
  <c r="P119" i="65"/>
  <c r="O119" i="65"/>
  <c r="P118" i="65"/>
  <c r="O118" i="65"/>
  <c r="P115" i="65"/>
  <c r="O115" i="65"/>
  <c r="P114" i="65"/>
  <c r="O114" i="65"/>
  <c r="P113" i="65"/>
  <c r="O113" i="65"/>
  <c r="P112" i="65"/>
  <c r="O112" i="65"/>
  <c r="P111" i="65"/>
  <c r="O111" i="65"/>
  <c r="P110" i="65"/>
  <c r="O110" i="65"/>
  <c r="P109" i="65"/>
  <c r="O109" i="65"/>
  <c r="P108" i="65"/>
  <c r="O108" i="65"/>
  <c r="P107" i="65"/>
  <c r="O107" i="65"/>
  <c r="P106" i="65"/>
  <c r="O106" i="65"/>
  <c r="P105" i="65"/>
  <c r="O105" i="65"/>
  <c r="P104" i="65"/>
  <c r="O104" i="65"/>
  <c r="P100" i="65"/>
  <c r="O100" i="65"/>
  <c r="P99" i="65"/>
  <c r="O99" i="65"/>
  <c r="P98" i="65"/>
  <c r="O98" i="65"/>
  <c r="P97" i="65"/>
  <c r="O97" i="65"/>
  <c r="P96" i="65"/>
  <c r="O96" i="65"/>
  <c r="P95" i="65"/>
  <c r="O95" i="65"/>
  <c r="P94" i="65"/>
  <c r="O94" i="65"/>
  <c r="P93" i="65"/>
  <c r="O93" i="65"/>
  <c r="P92" i="65"/>
  <c r="O92" i="65"/>
  <c r="P91" i="65"/>
  <c r="O91" i="65"/>
  <c r="P90" i="65"/>
  <c r="O90" i="65"/>
  <c r="P89" i="65"/>
  <c r="O89" i="65"/>
  <c r="P86" i="65"/>
  <c r="O86" i="65"/>
  <c r="P85" i="65"/>
  <c r="O85" i="65"/>
  <c r="P84" i="65"/>
  <c r="O84" i="65"/>
  <c r="P83" i="65"/>
  <c r="O83" i="65"/>
  <c r="P82" i="65"/>
  <c r="O82" i="65"/>
  <c r="P81" i="65"/>
  <c r="O81" i="65"/>
  <c r="P80" i="65"/>
  <c r="O80" i="65"/>
  <c r="P79" i="65"/>
  <c r="O79" i="65"/>
  <c r="P76" i="65"/>
  <c r="O76" i="65"/>
  <c r="P75" i="65"/>
  <c r="O75" i="65"/>
  <c r="P74" i="65"/>
  <c r="O74" i="65"/>
  <c r="P73" i="65"/>
  <c r="O73" i="65"/>
  <c r="P72" i="65"/>
  <c r="O72" i="65"/>
  <c r="P69" i="65"/>
  <c r="O69" i="65"/>
  <c r="P66" i="65"/>
  <c r="O66" i="65"/>
  <c r="P65" i="65"/>
  <c r="O65" i="65"/>
  <c r="P64" i="65"/>
  <c r="O64" i="65"/>
  <c r="P63" i="65"/>
  <c r="O63" i="65"/>
  <c r="P62" i="65"/>
  <c r="O62" i="65"/>
  <c r="P61" i="65"/>
  <c r="O61" i="65"/>
  <c r="P60" i="65"/>
  <c r="O60" i="65"/>
  <c r="P56" i="65"/>
  <c r="O56" i="65"/>
  <c r="P55" i="65"/>
  <c r="O55" i="65"/>
  <c r="P54" i="65"/>
  <c r="O54" i="65"/>
  <c r="P53" i="65"/>
  <c r="O53" i="65"/>
  <c r="P52" i="65"/>
  <c r="O52" i="65"/>
  <c r="P51" i="65"/>
  <c r="O51" i="65"/>
  <c r="P50" i="65"/>
  <c r="O50" i="65"/>
  <c r="P49" i="65"/>
  <c r="O49" i="65"/>
  <c r="P48" i="65"/>
  <c r="O48" i="65"/>
  <c r="P47" i="65"/>
  <c r="O47" i="65"/>
  <c r="P44" i="65"/>
  <c r="O44" i="65"/>
  <c r="P43" i="65"/>
  <c r="O43" i="65"/>
  <c r="P42" i="65"/>
  <c r="O42" i="65"/>
  <c r="P41" i="65"/>
  <c r="O41" i="65"/>
  <c r="P40" i="65"/>
  <c r="O40" i="65"/>
  <c r="P39" i="65"/>
  <c r="O39" i="65"/>
  <c r="P38" i="65"/>
  <c r="O38" i="65"/>
  <c r="P37" i="65"/>
  <c r="O37" i="65"/>
  <c r="P36" i="65"/>
  <c r="O36" i="65"/>
  <c r="P35" i="65"/>
  <c r="O35" i="65"/>
  <c r="P34" i="65"/>
  <c r="O34" i="65"/>
  <c r="P33" i="65"/>
  <c r="O33" i="65"/>
  <c r="P32" i="65"/>
  <c r="O32" i="65"/>
  <c r="P29" i="65"/>
  <c r="O29" i="65"/>
  <c r="P28" i="65"/>
  <c r="O28" i="65"/>
  <c r="P25" i="65"/>
  <c r="O25" i="65"/>
  <c r="P24" i="65"/>
  <c r="O24" i="65"/>
  <c r="P23" i="65"/>
  <c r="O23" i="65"/>
  <c r="P22" i="65"/>
  <c r="O22" i="65"/>
  <c r="P21" i="65"/>
  <c r="O21" i="65"/>
  <c r="P20" i="65"/>
  <c r="O20" i="65"/>
  <c r="P17" i="65"/>
  <c r="O17" i="65"/>
  <c r="P16" i="65"/>
  <c r="O16" i="65"/>
  <c r="P15" i="65"/>
  <c r="O15" i="65"/>
  <c r="P14" i="65"/>
  <c r="O14" i="65"/>
  <c r="P13" i="65"/>
  <c r="O13" i="65"/>
  <c r="P12" i="65"/>
  <c r="O12" i="65"/>
  <c r="P11" i="65"/>
  <c r="O11" i="65"/>
  <c r="P10" i="65"/>
  <c r="O10" i="65"/>
  <c r="P9" i="65"/>
  <c r="O9" i="65"/>
  <c r="O223" i="65" l="1"/>
  <c r="O225" i="65" s="1"/>
  <c r="O226" i="65" s="1"/>
  <c r="O236" i="65"/>
  <c r="O230" i="65"/>
  <c r="O237" i="65" l="1"/>
  <c r="O228" i="65"/>
  <c r="O227" i="65"/>
  <c r="O229" i="65" l="1"/>
  <c r="O231" i="65" l="1"/>
  <c r="O241" i="65" s="1"/>
  <c r="O244" i="65" l="1"/>
  <c r="O245" i="65" s="1"/>
  <c r="P245" i="65" s="1"/>
  <c r="I10" i="65" l="1"/>
  <c r="I11" i="65"/>
  <c r="I12" i="65"/>
  <c r="I13" i="65"/>
  <c r="I14" i="65"/>
  <c r="I15" i="65"/>
  <c r="I16" i="65"/>
  <c r="I17" i="65"/>
  <c r="I20" i="65"/>
  <c r="I21" i="65"/>
  <c r="I22" i="65"/>
  <c r="I23" i="65"/>
  <c r="I24" i="65"/>
  <c r="I25" i="65"/>
  <c r="I28" i="65"/>
  <c r="I29" i="65"/>
  <c r="I32" i="65"/>
  <c r="I33" i="65"/>
  <c r="I34" i="65"/>
  <c r="I35" i="65"/>
  <c r="I36" i="65"/>
  <c r="I37" i="65"/>
  <c r="I38" i="65"/>
  <c r="I39" i="65"/>
  <c r="I40" i="65"/>
  <c r="I41" i="65"/>
  <c r="I42" i="65"/>
  <c r="I43" i="65"/>
  <c r="I44" i="65"/>
  <c r="I47" i="65"/>
  <c r="I48" i="65"/>
  <c r="I49" i="65"/>
  <c r="I50" i="65"/>
  <c r="I51" i="65"/>
  <c r="I52" i="65"/>
  <c r="I53" i="65"/>
  <c r="I54" i="65"/>
  <c r="I55" i="65"/>
  <c r="I56" i="65"/>
  <c r="I60" i="65"/>
  <c r="I61" i="65"/>
  <c r="I62" i="65"/>
  <c r="I63" i="65"/>
  <c r="I64" i="65"/>
  <c r="I65" i="65"/>
  <c r="I66" i="65"/>
  <c r="I69" i="65"/>
  <c r="I72" i="65"/>
  <c r="I73" i="65"/>
  <c r="I74" i="65"/>
  <c r="I75" i="65"/>
  <c r="I76" i="65"/>
  <c r="I79" i="65"/>
  <c r="I80" i="65"/>
  <c r="I81" i="65"/>
  <c r="I82" i="65"/>
  <c r="I83" i="65"/>
  <c r="I84" i="65"/>
  <c r="I85" i="65"/>
  <c r="I86" i="65"/>
  <c r="I89" i="65"/>
  <c r="I90" i="65"/>
  <c r="I91" i="65"/>
  <c r="I92" i="65"/>
  <c r="I93" i="65"/>
  <c r="I94" i="65"/>
  <c r="I95" i="65"/>
  <c r="I96" i="65"/>
  <c r="I97" i="65"/>
  <c r="I98" i="65"/>
  <c r="I99" i="65"/>
  <c r="I100" i="65"/>
  <c r="I104" i="65"/>
  <c r="I105" i="65"/>
  <c r="I106" i="65"/>
  <c r="I107" i="65"/>
  <c r="I108" i="65"/>
  <c r="I109" i="65"/>
  <c r="I110" i="65"/>
  <c r="I111" i="65"/>
  <c r="I112" i="65"/>
  <c r="I113" i="65"/>
  <c r="I114" i="65"/>
  <c r="I115" i="65"/>
  <c r="I118" i="65"/>
  <c r="I119" i="65"/>
  <c r="I120" i="65"/>
  <c r="I121" i="65"/>
  <c r="I122" i="65"/>
  <c r="I123" i="65"/>
  <c r="I124" i="65"/>
  <c r="I125" i="65"/>
  <c r="I126" i="65"/>
  <c r="I127" i="65"/>
  <c r="I128" i="65"/>
  <c r="I132" i="65"/>
  <c r="I133" i="65"/>
  <c r="I134" i="65"/>
  <c r="I135" i="65"/>
  <c r="I136" i="65"/>
  <c r="I137" i="65"/>
  <c r="I138" i="65"/>
  <c r="I139" i="65"/>
  <c r="I142" i="65"/>
  <c r="I143" i="65"/>
  <c r="I144" i="65"/>
  <c r="I145" i="65"/>
  <c r="I146" i="65"/>
  <c r="I147" i="65"/>
  <c r="I148" i="65"/>
  <c r="I149" i="65"/>
  <c r="I152" i="65"/>
  <c r="I153" i="65"/>
  <c r="I154" i="65"/>
  <c r="I155" i="65"/>
  <c r="I156" i="65"/>
  <c r="I157" i="65"/>
  <c r="I158" i="65"/>
  <c r="I159" i="65"/>
  <c r="I160" i="65"/>
  <c r="I161" i="65"/>
  <c r="I162" i="65"/>
  <c r="I166" i="65"/>
  <c r="I167" i="65"/>
  <c r="I168" i="65"/>
  <c r="I169" i="65"/>
  <c r="I170" i="65"/>
  <c r="I171" i="65"/>
  <c r="I172" i="65"/>
  <c r="I175" i="65"/>
  <c r="I176" i="65"/>
  <c r="I177" i="65"/>
  <c r="I178" i="65"/>
  <c r="I179" i="65"/>
  <c r="I180" i="65"/>
  <c r="I181" i="65"/>
  <c r="I182" i="65"/>
  <c r="I186" i="65"/>
  <c r="I187" i="65"/>
  <c r="I188" i="65"/>
  <c r="I189" i="65"/>
  <c r="I190" i="65"/>
  <c r="I193" i="65"/>
  <c r="I194" i="65"/>
  <c r="I195" i="65"/>
  <c r="I196" i="65"/>
  <c r="I197" i="65"/>
  <c r="I200" i="65"/>
  <c r="I201" i="65"/>
  <c r="I202" i="65"/>
  <c r="I203" i="65"/>
  <c r="I206" i="65"/>
  <c r="I207" i="65"/>
  <c r="I208" i="65"/>
  <c r="I209" i="65"/>
  <c r="I210" i="65"/>
  <c r="I211" i="65"/>
  <c r="I212" i="65"/>
  <c r="I213" i="65"/>
  <c r="I214" i="65"/>
  <c r="I215" i="65"/>
  <c r="I216" i="65"/>
  <c r="I219" i="65"/>
  <c r="I220" i="65"/>
  <c r="H3" i="65"/>
  <c r="H229" i="65"/>
  <c r="G16" i="33" l="1"/>
  <c r="G6" i="33" l="1"/>
  <c r="K17" i="33" l="1"/>
  <c r="D15" i="33"/>
  <c r="K53" i="33" l="1"/>
  <c r="G53" i="33"/>
  <c r="K41" i="33"/>
  <c r="G41" i="33"/>
  <c r="K29" i="33"/>
  <c r="K15" i="33" s="1"/>
  <c r="L15" i="33" s="1"/>
  <c r="G29" i="33"/>
  <c r="G15" i="33" s="1"/>
  <c r="H15" i="33" s="1"/>
  <c r="G5" i="33" l="1"/>
  <c r="K16" i="33"/>
  <c r="K13" i="33" l="1"/>
  <c r="K6" i="33"/>
  <c r="K7" i="33"/>
  <c r="K5" i="33"/>
  <c r="G17" i="33"/>
  <c r="G7" i="33"/>
  <c r="H13" i="33"/>
  <c r="G13" i="33" l="1"/>
  <c r="L13" i="33" l="1"/>
  <c r="A5" i="60" l="1"/>
  <c r="A4" i="60"/>
  <c r="B73" i="57"/>
  <c r="B74" i="57" s="1"/>
  <c r="L53" i="33" l="1"/>
  <c r="H29" i="33" l="1"/>
  <c r="D54" i="57"/>
  <c r="B67" i="57" l="1"/>
  <c r="B65" i="57"/>
  <c r="H41" i="33"/>
  <c r="L41" i="33" l="1"/>
  <c r="L29" i="33"/>
  <c r="A3" i="65"/>
  <c r="K229" i="65" l="1"/>
  <c r="L11" i="65" l="1"/>
  <c r="M11" i="65"/>
  <c r="L12" i="65"/>
  <c r="M12" i="65"/>
  <c r="L13" i="65"/>
  <c r="M13" i="65"/>
  <c r="L14" i="65"/>
  <c r="M14" i="65"/>
  <c r="L15" i="65"/>
  <c r="M15" i="65"/>
  <c r="L16" i="65"/>
  <c r="M16" i="65"/>
  <c r="L17" i="65"/>
  <c r="M17" i="65"/>
  <c r="L20" i="65"/>
  <c r="M20" i="65"/>
  <c r="L21" i="65"/>
  <c r="M21" i="65"/>
  <c r="L22" i="65"/>
  <c r="M22" i="65"/>
  <c r="L23" i="65"/>
  <c r="M23" i="65"/>
  <c r="L24" i="65"/>
  <c r="M24" i="65"/>
  <c r="L25" i="65"/>
  <c r="M25" i="65"/>
  <c r="L28" i="65"/>
  <c r="M28" i="65"/>
  <c r="L29" i="65"/>
  <c r="M29" i="65"/>
  <c r="L32" i="65"/>
  <c r="M32" i="65"/>
  <c r="L33" i="65"/>
  <c r="M33" i="65"/>
  <c r="L34" i="65"/>
  <c r="M34" i="65"/>
  <c r="L35" i="65"/>
  <c r="M35" i="65"/>
  <c r="L36" i="65"/>
  <c r="M36" i="65"/>
  <c r="L37" i="65"/>
  <c r="M37" i="65"/>
  <c r="L38" i="65"/>
  <c r="M38" i="65"/>
  <c r="L39" i="65"/>
  <c r="M39" i="65"/>
  <c r="L40" i="65"/>
  <c r="M40" i="65"/>
  <c r="L41" i="65"/>
  <c r="M41" i="65"/>
  <c r="L42" i="65"/>
  <c r="M42" i="65"/>
  <c r="L43" i="65"/>
  <c r="M43" i="65"/>
  <c r="L44" i="65"/>
  <c r="M44" i="65"/>
  <c r="L47" i="65"/>
  <c r="M47" i="65"/>
  <c r="L48" i="65"/>
  <c r="M48" i="65"/>
  <c r="L49" i="65"/>
  <c r="M49" i="65"/>
  <c r="L50" i="65"/>
  <c r="M50" i="65"/>
  <c r="L51" i="65"/>
  <c r="M51" i="65"/>
  <c r="L52" i="65"/>
  <c r="M52" i="65"/>
  <c r="L53" i="65"/>
  <c r="M53" i="65"/>
  <c r="L54" i="65"/>
  <c r="M54" i="65"/>
  <c r="L55" i="65"/>
  <c r="M55" i="65"/>
  <c r="L56" i="65"/>
  <c r="M56" i="65"/>
  <c r="L60" i="65"/>
  <c r="M60" i="65"/>
  <c r="L61" i="65"/>
  <c r="M61" i="65"/>
  <c r="L62" i="65"/>
  <c r="M62" i="65"/>
  <c r="L63" i="65"/>
  <c r="M63" i="65"/>
  <c r="L64" i="65"/>
  <c r="M64" i="65"/>
  <c r="L65" i="65"/>
  <c r="M65" i="65"/>
  <c r="L66" i="65"/>
  <c r="M66" i="65"/>
  <c r="L69" i="65"/>
  <c r="M69" i="65"/>
  <c r="L72" i="65"/>
  <c r="M72" i="65"/>
  <c r="L73" i="65"/>
  <c r="M73" i="65"/>
  <c r="L74" i="65"/>
  <c r="M74" i="65"/>
  <c r="L75" i="65"/>
  <c r="M75" i="65"/>
  <c r="L76" i="65"/>
  <c r="M76" i="65"/>
  <c r="L79" i="65"/>
  <c r="M79" i="65"/>
  <c r="L80" i="65"/>
  <c r="M80" i="65"/>
  <c r="L81" i="65"/>
  <c r="M81" i="65"/>
  <c r="L82" i="65"/>
  <c r="M82" i="65"/>
  <c r="L83" i="65"/>
  <c r="M83" i="65"/>
  <c r="L84" i="65"/>
  <c r="M84" i="65"/>
  <c r="L85" i="65"/>
  <c r="M85" i="65"/>
  <c r="L86" i="65"/>
  <c r="M86" i="65"/>
  <c r="L89" i="65"/>
  <c r="M89" i="65"/>
  <c r="L90" i="65"/>
  <c r="M90" i="65"/>
  <c r="L91" i="65"/>
  <c r="M91" i="65"/>
  <c r="L92" i="65"/>
  <c r="M92" i="65"/>
  <c r="L93" i="65"/>
  <c r="M93" i="65"/>
  <c r="L94" i="65"/>
  <c r="M94" i="65"/>
  <c r="L95" i="65"/>
  <c r="M95" i="65"/>
  <c r="L96" i="65"/>
  <c r="M96" i="65"/>
  <c r="L97" i="65"/>
  <c r="M97" i="65"/>
  <c r="L98" i="65"/>
  <c r="M98" i="65"/>
  <c r="L99" i="65"/>
  <c r="M99" i="65"/>
  <c r="L100" i="65"/>
  <c r="M100" i="65"/>
  <c r="L104" i="65"/>
  <c r="M104" i="65"/>
  <c r="L105" i="65"/>
  <c r="M105" i="65"/>
  <c r="L106" i="65"/>
  <c r="M106" i="65"/>
  <c r="L107" i="65"/>
  <c r="M107" i="65"/>
  <c r="L108" i="65"/>
  <c r="M108" i="65"/>
  <c r="L109" i="65"/>
  <c r="M109" i="65"/>
  <c r="L110" i="65"/>
  <c r="M110" i="65"/>
  <c r="L111" i="65"/>
  <c r="M111" i="65"/>
  <c r="L112" i="65"/>
  <c r="M112" i="65"/>
  <c r="L113" i="65"/>
  <c r="M113" i="65"/>
  <c r="L114" i="65"/>
  <c r="M114" i="65"/>
  <c r="L115" i="65"/>
  <c r="M115" i="65"/>
  <c r="L118" i="65"/>
  <c r="M118" i="65"/>
  <c r="L119" i="65"/>
  <c r="M119" i="65"/>
  <c r="L120" i="65"/>
  <c r="M120" i="65"/>
  <c r="L121" i="65"/>
  <c r="M121" i="65"/>
  <c r="L122" i="65"/>
  <c r="M122" i="65"/>
  <c r="L123" i="65"/>
  <c r="M123" i="65"/>
  <c r="L124" i="65"/>
  <c r="M124" i="65"/>
  <c r="L125" i="65"/>
  <c r="M125" i="65"/>
  <c r="L126" i="65"/>
  <c r="M126" i="65"/>
  <c r="L127" i="65"/>
  <c r="M127" i="65"/>
  <c r="L128" i="65"/>
  <c r="M128" i="65"/>
  <c r="L132" i="65"/>
  <c r="M132" i="65"/>
  <c r="L133" i="65"/>
  <c r="M133" i="65"/>
  <c r="L134" i="65"/>
  <c r="M134" i="65"/>
  <c r="L135" i="65"/>
  <c r="M135" i="65"/>
  <c r="L136" i="65"/>
  <c r="M136" i="65"/>
  <c r="L137" i="65"/>
  <c r="M137" i="65"/>
  <c r="L138" i="65"/>
  <c r="M138" i="65"/>
  <c r="L139" i="65"/>
  <c r="M139" i="65"/>
  <c r="L142" i="65"/>
  <c r="M142" i="65"/>
  <c r="L143" i="65"/>
  <c r="M143" i="65"/>
  <c r="L144" i="65"/>
  <c r="M144" i="65"/>
  <c r="L145" i="65"/>
  <c r="M145" i="65"/>
  <c r="L146" i="65"/>
  <c r="M146" i="65"/>
  <c r="L147" i="65"/>
  <c r="M147" i="65"/>
  <c r="L148" i="65"/>
  <c r="M148" i="65"/>
  <c r="L149" i="65"/>
  <c r="M149" i="65"/>
  <c r="L152" i="65"/>
  <c r="M152" i="65"/>
  <c r="L153" i="65"/>
  <c r="M153" i="65"/>
  <c r="L154" i="65"/>
  <c r="M154" i="65"/>
  <c r="L155" i="65"/>
  <c r="M155" i="65"/>
  <c r="L156" i="65"/>
  <c r="M156" i="65"/>
  <c r="L157" i="65"/>
  <c r="M157" i="65"/>
  <c r="L158" i="65"/>
  <c r="M158" i="65"/>
  <c r="L159" i="65"/>
  <c r="M159" i="65"/>
  <c r="L160" i="65"/>
  <c r="M160" i="65"/>
  <c r="L161" i="65"/>
  <c r="M161" i="65"/>
  <c r="L162" i="65"/>
  <c r="M162" i="65"/>
  <c r="L166" i="65"/>
  <c r="M166" i="65"/>
  <c r="L167" i="65"/>
  <c r="M167" i="65"/>
  <c r="L168" i="65"/>
  <c r="M168" i="65"/>
  <c r="L169" i="65"/>
  <c r="M169" i="65"/>
  <c r="L170" i="65"/>
  <c r="M170" i="65"/>
  <c r="L171" i="65"/>
  <c r="M171" i="65"/>
  <c r="L172" i="65"/>
  <c r="M172" i="65"/>
  <c r="L175" i="65"/>
  <c r="M175" i="65"/>
  <c r="L176" i="65"/>
  <c r="M176" i="65"/>
  <c r="L177" i="65"/>
  <c r="M177" i="65"/>
  <c r="L178" i="65"/>
  <c r="M178" i="65"/>
  <c r="L179" i="65"/>
  <c r="M179" i="65"/>
  <c r="L180" i="65"/>
  <c r="M180" i="65"/>
  <c r="L181" i="65"/>
  <c r="M181" i="65"/>
  <c r="L182" i="65"/>
  <c r="M182" i="65"/>
  <c r="L186" i="65"/>
  <c r="M186" i="65"/>
  <c r="L187" i="65"/>
  <c r="M187" i="65"/>
  <c r="L188" i="65"/>
  <c r="M188" i="65"/>
  <c r="L189" i="65"/>
  <c r="M189" i="65"/>
  <c r="L190" i="65"/>
  <c r="M190" i="65"/>
  <c r="L193" i="65"/>
  <c r="M193" i="65"/>
  <c r="L194" i="65"/>
  <c r="M194" i="65"/>
  <c r="L195" i="65"/>
  <c r="M195" i="65"/>
  <c r="L196" i="65"/>
  <c r="M196" i="65"/>
  <c r="L197" i="65"/>
  <c r="M197" i="65"/>
  <c r="L200" i="65"/>
  <c r="M200" i="65"/>
  <c r="L201" i="65"/>
  <c r="M201" i="65"/>
  <c r="L202" i="65"/>
  <c r="M202" i="65"/>
  <c r="L203" i="65"/>
  <c r="M203" i="65"/>
  <c r="L206" i="65"/>
  <c r="M206" i="65"/>
  <c r="L207" i="65"/>
  <c r="M207" i="65"/>
  <c r="L208" i="65"/>
  <c r="M208" i="65"/>
  <c r="L209" i="65"/>
  <c r="M209" i="65"/>
  <c r="L210" i="65"/>
  <c r="M210" i="65"/>
  <c r="L211" i="65"/>
  <c r="M211" i="65"/>
  <c r="L212" i="65"/>
  <c r="M212" i="65"/>
  <c r="L213" i="65"/>
  <c r="M213" i="65"/>
  <c r="L214" i="65"/>
  <c r="M214" i="65"/>
  <c r="L215" i="65"/>
  <c r="M215" i="65"/>
  <c r="L216" i="65"/>
  <c r="M216" i="65"/>
  <c r="L219" i="65"/>
  <c r="M219" i="65"/>
  <c r="L220" i="65"/>
  <c r="M220" i="65"/>
  <c r="J11" i="65"/>
  <c r="J12" i="65"/>
  <c r="J13" i="65"/>
  <c r="J14" i="65"/>
  <c r="J15" i="65"/>
  <c r="J16" i="65"/>
  <c r="J17" i="65"/>
  <c r="J20" i="65"/>
  <c r="J21" i="65"/>
  <c r="J22" i="65"/>
  <c r="J23" i="65"/>
  <c r="J24" i="65"/>
  <c r="J25" i="65"/>
  <c r="J28" i="65"/>
  <c r="J29" i="65"/>
  <c r="J32" i="65"/>
  <c r="J33" i="65"/>
  <c r="J34" i="65"/>
  <c r="J35" i="65"/>
  <c r="J36" i="65"/>
  <c r="J37" i="65"/>
  <c r="J38" i="65"/>
  <c r="J39" i="65"/>
  <c r="J40" i="65"/>
  <c r="J41" i="65"/>
  <c r="J42" i="65"/>
  <c r="J43" i="65"/>
  <c r="J44" i="65"/>
  <c r="J47" i="65"/>
  <c r="J48" i="65"/>
  <c r="J49" i="65"/>
  <c r="J50" i="65"/>
  <c r="J51" i="65"/>
  <c r="J52" i="65"/>
  <c r="J53" i="65"/>
  <c r="J54" i="65"/>
  <c r="J55" i="65"/>
  <c r="J56" i="65"/>
  <c r="J60" i="65"/>
  <c r="J61" i="65"/>
  <c r="J62" i="65"/>
  <c r="J63" i="65"/>
  <c r="J64" i="65"/>
  <c r="J65" i="65"/>
  <c r="J66" i="65"/>
  <c r="J69" i="65"/>
  <c r="J72" i="65"/>
  <c r="J73" i="65"/>
  <c r="J74" i="65"/>
  <c r="J75" i="65"/>
  <c r="J76" i="65"/>
  <c r="J79" i="65"/>
  <c r="J80" i="65"/>
  <c r="J81" i="65"/>
  <c r="J82" i="65"/>
  <c r="J83" i="65"/>
  <c r="J84" i="65"/>
  <c r="J85" i="65"/>
  <c r="J86" i="65"/>
  <c r="J89" i="65"/>
  <c r="J90" i="65"/>
  <c r="J91" i="65"/>
  <c r="J92" i="65"/>
  <c r="J93" i="65"/>
  <c r="J94" i="65"/>
  <c r="J95" i="65"/>
  <c r="J96" i="65"/>
  <c r="J97" i="65"/>
  <c r="J98" i="65"/>
  <c r="J99" i="65"/>
  <c r="J100" i="65"/>
  <c r="J104" i="65"/>
  <c r="J105" i="65"/>
  <c r="J106" i="65"/>
  <c r="J107" i="65"/>
  <c r="J108" i="65"/>
  <c r="J109" i="65"/>
  <c r="J110" i="65"/>
  <c r="J111" i="65"/>
  <c r="J112" i="65"/>
  <c r="J113" i="65"/>
  <c r="J114" i="65"/>
  <c r="J115" i="65"/>
  <c r="J118" i="65"/>
  <c r="J119" i="65"/>
  <c r="J120" i="65"/>
  <c r="J121" i="65"/>
  <c r="J122" i="65"/>
  <c r="J123" i="65"/>
  <c r="J124" i="65"/>
  <c r="J125" i="65"/>
  <c r="J126" i="65"/>
  <c r="J127" i="65"/>
  <c r="J128" i="65"/>
  <c r="J132" i="65"/>
  <c r="J133" i="65"/>
  <c r="J134" i="65"/>
  <c r="J135" i="65"/>
  <c r="J136" i="65"/>
  <c r="J137" i="65"/>
  <c r="J138" i="65"/>
  <c r="J139" i="65"/>
  <c r="J142" i="65"/>
  <c r="J143" i="65"/>
  <c r="J144" i="65"/>
  <c r="J145" i="65"/>
  <c r="J146" i="65"/>
  <c r="J147" i="65"/>
  <c r="J148" i="65"/>
  <c r="J149" i="65"/>
  <c r="J152" i="65"/>
  <c r="J153" i="65"/>
  <c r="J154" i="65"/>
  <c r="J155" i="65"/>
  <c r="J156" i="65"/>
  <c r="J157" i="65"/>
  <c r="J158" i="65"/>
  <c r="J159" i="65"/>
  <c r="J160" i="65"/>
  <c r="J161" i="65"/>
  <c r="J162" i="65"/>
  <c r="J166" i="65"/>
  <c r="J167" i="65"/>
  <c r="J168" i="65"/>
  <c r="J169" i="65"/>
  <c r="J170" i="65"/>
  <c r="J171" i="65"/>
  <c r="J172" i="65"/>
  <c r="J175" i="65"/>
  <c r="J176" i="65"/>
  <c r="J177" i="65"/>
  <c r="J178" i="65"/>
  <c r="J179" i="65"/>
  <c r="J180" i="65"/>
  <c r="J181" i="65"/>
  <c r="J182" i="65"/>
  <c r="J186" i="65"/>
  <c r="J187" i="65"/>
  <c r="J188" i="65"/>
  <c r="J189" i="65"/>
  <c r="J190" i="65"/>
  <c r="J193" i="65"/>
  <c r="J194" i="65"/>
  <c r="J195" i="65"/>
  <c r="J196" i="65"/>
  <c r="J197" i="65"/>
  <c r="J200" i="65"/>
  <c r="J201" i="65"/>
  <c r="J202" i="65"/>
  <c r="J203" i="65"/>
  <c r="J206" i="65"/>
  <c r="J207" i="65"/>
  <c r="J208" i="65"/>
  <c r="J209" i="65"/>
  <c r="J210" i="65"/>
  <c r="J211" i="65"/>
  <c r="J212" i="65"/>
  <c r="J213" i="65"/>
  <c r="J214" i="65"/>
  <c r="J215" i="65"/>
  <c r="J216" i="65"/>
  <c r="J219" i="65"/>
  <c r="J220" i="65"/>
  <c r="G10" i="65" l="1"/>
  <c r="G11" i="65"/>
  <c r="G12" i="65"/>
  <c r="G13" i="65"/>
  <c r="G14" i="65"/>
  <c r="G15" i="65"/>
  <c r="G16" i="65"/>
  <c r="G17" i="65"/>
  <c r="G20" i="65"/>
  <c r="G21" i="65"/>
  <c r="G22" i="65"/>
  <c r="G23" i="65"/>
  <c r="G24" i="65"/>
  <c r="G25" i="65"/>
  <c r="G28" i="65"/>
  <c r="G29" i="65"/>
  <c r="G32" i="65"/>
  <c r="G33" i="65"/>
  <c r="G34" i="65"/>
  <c r="G35" i="65"/>
  <c r="G36" i="65"/>
  <c r="G37" i="65"/>
  <c r="G38" i="65"/>
  <c r="G39" i="65"/>
  <c r="G40" i="65"/>
  <c r="G41" i="65"/>
  <c r="G42" i="65"/>
  <c r="G43" i="65"/>
  <c r="G44" i="65"/>
  <c r="G47" i="65"/>
  <c r="G48" i="65"/>
  <c r="G49" i="65"/>
  <c r="G50" i="65"/>
  <c r="G51" i="65"/>
  <c r="G52" i="65"/>
  <c r="G53" i="65"/>
  <c r="G54" i="65"/>
  <c r="G55" i="65"/>
  <c r="G56" i="65"/>
  <c r="G60" i="65"/>
  <c r="G61" i="65"/>
  <c r="G62" i="65"/>
  <c r="G63" i="65"/>
  <c r="G64" i="65"/>
  <c r="G65" i="65"/>
  <c r="G66" i="65"/>
  <c r="G69" i="65"/>
  <c r="G72" i="65"/>
  <c r="G73" i="65"/>
  <c r="G74" i="65"/>
  <c r="G75" i="65"/>
  <c r="G76" i="65"/>
  <c r="G79" i="65"/>
  <c r="G80" i="65"/>
  <c r="G81" i="65"/>
  <c r="G82" i="65"/>
  <c r="G83" i="65"/>
  <c r="G84" i="65"/>
  <c r="G85" i="65"/>
  <c r="G86" i="65"/>
  <c r="G89" i="65"/>
  <c r="G90" i="65"/>
  <c r="G91" i="65"/>
  <c r="G92" i="65"/>
  <c r="G93" i="65"/>
  <c r="G94" i="65"/>
  <c r="G95" i="65"/>
  <c r="G96" i="65"/>
  <c r="G97" i="65"/>
  <c r="G98" i="65"/>
  <c r="G99" i="65"/>
  <c r="G100" i="65"/>
  <c r="G104" i="65"/>
  <c r="G105" i="65"/>
  <c r="G106" i="65"/>
  <c r="G107" i="65"/>
  <c r="G108" i="65"/>
  <c r="G109" i="65"/>
  <c r="G110" i="65"/>
  <c r="G111" i="65"/>
  <c r="G112" i="65"/>
  <c r="G113" i="65"/>
  <c r="G114" i="65"/>
  <c r="G115" i="65"/>
  <c r="G118" i="65"/>
  <c r="G119" i="65"/>
  <c r="G120" i="65"/>
  <c r="G121" i="65"/>
  <c r="G122" i="65"/>
  <c r="G123" i="65"/>
  <c r="G124" i="65"/>
  <c r="G125" i="65"/>
  <c r="G126" i="65"/>
  <c r="G127" i="65"/>
  <c r="G128" i="65"/>
  <c r="G132" i="65"/>
  <c r="G133" i="65"/>
  <c r="G134" i="65"/>
  <c r="G135" i="65"/>
  <c r="G136" i="65"/>
  <c r="G137" i="65"/>
  <c r="G138" i="65"/>
  <c r="G139" i="65"/>
  <c r="G142" i="65"/>
  <c r="G143" i="65"/>
  <c r="G144" i="65"/>
  <c r="G145" i="65"/>
  <c r="G146" i="65"/>
  <c r="G147" i="65"/>
  <c r="G148" i="65"/>
  <c r="G149" i="65"/>
  <c r="G152" i="65"/>
  <c r="G153" i="65"/>
  <c r="G154" i="65"/>
  <c r="G155" i="65"/>
  <c r="G156" i="65"/>
  <c r="G157" i="65"/>
  <c r="G158" i="65"/>
  <c r="G159" i="65"/>
  <c r="G160" i="65"/>
  <c r="G161" i="65"/>
  <c r="G162" i="65"/>
  <c r="G166" i="65"/>
  <c r="G167" i="65"/>
  <c r="G168" i="65"/>
  <c r="G169" i="65"/>
  <c r="G170" i="65"/>
  <c r="G171" i="65"/>
  <c r="G172" i="65"/>
  <c r="G175" i="65"/>
  <c r="G176" i="65"/>
  <c r="G177" i="65"/>
  <c r="G178" i="65"/>
  <c r="G179" i="65"/>
  <c r="G180" i="65"/>
  <c r="G181" i="65"/>
  <c r="G182" i="65"/>
  <c r="G186" i="65"/>
  <c r="G187" i="65"/>
  <c r="G188" i="65"/>
  <c r="G189" i="65"/>
  <c r="G190" i="65"/>
  <c r="G193" i="65"/>
  <c r="G194" i="65"/>
  <c r="G195" i="65"/>
  <c r="G196" i="65"/>
  <c r="G197" i="65"/>
  <c r="G200" i="65"/>
  <c r="G201" i="65"/>
  <c r="G202" i="65"/>
  <c r="G203" i="65"/>
  <c r="G206" i="65"/>
  <c r="G207" i="65"/>
  <c r="G208" i="65"/>
  <c r="G209" i="65"/>
  <c r="G210" i="65"/>
  <c r="G211" i="65"/>
  <c r="G212" i="65"/>
  <c r="G213" i="65"/>
  <c r="G214" i="65"/>
  <c r="G215" i="65"/>
  <c r="G216" i="65"/>
  <c r="G219" i="65"/>
  <c r="G220" i="65"/>
  <c r="D229" i="65"/>
  <c r="S229" i="65" l="1"/>
  <c r="P229" i="65"/>
  <c r="J229" i="65"/>
  <c r="M10" i="65"/>
  <c r="L10" i="65"/>
  <c r="J10" i="65"/>
  <c r="M9" i="65"/>
  <c r="L9" i="65"/>
  <c r="J9" i="65"/>
  <c r="I9" i="65"/>
  <c r="G9" i="65"/>
  <c r="G223" i="65" s="1"/>
  <c r="G225" i="65" s="1"/>
  <c r="G236" i="65" l="1"/>
  <c r="G230" i="65"/>
  <c r="G228" i="65"/>
  <c r="G237" i="65"/>
  <c r="G226" i="65"/>
  <c r="G227" i="65"/>
  <c r="I223" i="65"/>
  <c r="I225" i="65" s="1"/>
  <c r="L223" i="65"/>
  <c r="L225" i="65" s="1"/>
  <c r="M229" i="65"/>
  <c r="L237" i="65" l="1"/>
  <c r="L230" i="65"/>
  <c r="L226" i="65"/>
  <c r="L236" i="65"/>
  <c r="L228" i="65"/>
  <c r="L227" i="65"/>
  <c r="I236" i="65"/>
  <c r="I226" i="65"/>
  <c r="I237" i="65"/>
  <c r="I228" i="65"/>
  <c r="I227" i="65"/>
  <c r="I230" i="65"/>
  <c r="G229" i="65"/>
  <c r="G231" i="65" s="1"/>
  <c r="G239" i="65" s="1"/>
  <c r="S241" i="65" l="1"/>
  <c r="Q247" i="65" s="1"/>
  <c r="R242" i="65"/>
  <c r="S242" i="65" s="1"/>
  <c r="O242" i="65"/>
  <c r="P242" i="65" s="1"/>
  <c r="P241" i="65"/>
  <c r="L229" i="65"/>
  <c r="L231" i="65" s="1"/>
  <c r="L241" i="65" s="1"/>
  <c r="L244" i="65" s="1"/>
  <c r="L245" i="65" s="1"/>
  <c r="M245" i="65" s="1"/>
  <c r="I229" i="65"/>
  <c r="I231" i="65" s="1"/>
  <c r="I241" i="65" s="1"/>
  <c r="J241" i="65" s="1"/>
  <c r="I242" i="65" l="1"/>
  <c r="J242" i="65" s="1"/>
  <c r="N247" i="65"/>
  <c r="M241" i="65"/>
  <c r="I244" i="65"/>
  <c r="I245" i="65" s="1"/>
  <c r="J245" i="65" s="1"/>
  <c r="L242" i="65"/>
  <c r="M242" i="65" s="1"/>
  <c r="K247" i="65" s="1"/>
  <c r="H247" i="65" l="1"/>
  <c r="G10" i="60"/>
  <c r="D10" i="60"/>
  <c r="D56" i="57"/>
  <c r="E11" i="60"/>
  <c r="H53" i="33" l="1"/>
  <c r="G2" i="33"/>
  <c r="G4" i="33" l="1"/>
  <c r="K4" i="33"/>
  <c r="F15" i="57" s="1"/>
  <c r="E15" i="57" s="1"/>
  <c r="H4" i="33" l="1"/>
  <c r="D15" i="57"/>
  <c r="C15" i="57" s="1"/>
  <c r="L4" i="33"/>
  <c r="K2" i="33"/>
  <c r="B69" i="57" l="1"/>
  <c r="B70" i="57" s="1"/>
  <c r="B62" i="57"/>
  <c r="B66" i="57" s="1"/>
  <c r="D55" i="57" s="1"/>
  <c r="D57" i="57" s="1"/>
</calcChain>
</file>

<file path=xl/sharedStrings.xml><?xml version="1.0" encoding="utf-8"?>
<sst xmlns="http://schemas.openxmlformats.org/spreadsheetml/2006/main" count="983" uniqueCount="586">
  <si>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</si>
  <si>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</si>
  <si>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</si>
  <si>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</si>
  <si>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</si>
  <si>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</si>
  <si>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</si>
  <si>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</si>
  <si>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</si>
  <si>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</si>
  <si>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</si>
  <si>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</si>
  <si>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</si>
  <si>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</si>
  <si>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</si>
  <si>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</si>
  <si>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PROPONENTE</t>
  </si>
  <si>
    <t>OFICIAL</t>
  </si>
  <si>
    <t>VALOR TOTAL EJECUTADO (VTE)</t>
  </si>
  <si>
    <t>VTE1</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</si>
  <si>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</si>
  <si>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</si>
  <si>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</si>
  <si>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</si>
  <si>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</si>
  <si>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</si>
  <si>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</si>
  <si>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</si>
  <si>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</si>
  <si>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</si>
  <si>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</si>
  <si>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</si>
  <si>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</si>
  <si>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</si>
  <si>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CONCEPTO</t>
  </si>
  <si>
    <t>ORIGINAL FIRMADO</t>
  </si>
  <si>
    <t>CARLOS JULIO ZUÑIGA SANCHEZ</t>
  </si>
  <si>
    <t>CIELO PEREZ SOLANO</t>
  </si>
  <si>
    <t>Presidenta Junta de Licitaciones y Contratos</t>
  </si>
  <si>
    <t>Vicerrectora Administrativa</t>
  </si>
  <si>
    <t>VERIFICACIÓN REQUISITOS TECNICOS HABILITANTES</t>
  </si>
  <si>
    <t>2.3.</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</si>
  <si>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</si>
  <si>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</si>
  <si>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</si>
  <si>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</si>
  <si>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</si>
  <si>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</si>
  <si>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</si>
  <si>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</si>
  <si>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</si>
  <si>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</si>
  <si>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</si>
  <si>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</si>
  <si>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</si>
  <si>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</si>
  <si>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</si>
  <si>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</si>
  <si>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</si>
  <si>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</si>
  <si>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</si>
  <si>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</si>
  <si>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</si>
  <si>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</si>
  <si>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</si>
  <si>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</si>
  <si>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</si>
  <si>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</si>
  <si>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MAX</t>
  </si>
  <si>
    <t>CONTRATO 3</t>
  </si>
  <si>
    <t>Contratista - Profesional Especializado</t>
  </si>
  <si>
    <t>EXPERIENCIA ESPECÍFICA DEL PROPONENTE</t>
  </si>
  <si>
    <t>ÍTEM</t>
  </si>
  <si>
    <t>PUNTAJE</t>
  </si>
  <si>
    <t>NO HABIL</t>
  </si>
  <si>
    <t>ML</t>
  </si>
  <si>
    <t>KG</t>
  </si>
  <si>
    <t>COSTOS DE SUMINISTRO DE BIENES Y SERVICIOS</t>
  </si>
  <si>
    <t>COSTOS CERTIFICACION RETIE</t>
  </si>
  <si>
    <t>COSTOS CERTIFICACION RETILAB</t>
  </si>
  <si>
    <t>VALOR  TOTAL PRESUPUESTO OFICIAL</t>
  </si>
  <si>
    <t xml:space="preserve">VALOR COSTOS DIRECTOS + INDIRECTOS + IVA SOBRE UTILIDAD DE LA OBRA CIVIL </t>
  </si>
  <si>
    <t>COSTO TOTAL OBRA CIVIL</t>
  </si>
  <si>
    <t xml:space="preserve">DOCUMENTOS TÉCNICOS </t>
  </si>
  <si>
    <t>CLASIFICADOR  UNSPSC</t>
  </si>
  <si>
    <t>% PARTICIPACION MINIMA</t>
  </si>
  <si>
    <t>EXPERIENCIA ESPECIFICA MINIMA
30% VALOR PRESUPUESTO OFICIAL</t>
  </si>
  <si>
    <t>SI</t>
  </si>
  <si>
    <t>N/A</t>
  </si>
  <si>
    <t>NO</t>
  </si>
  <si>
    <t>PUNTAJE MAXIMO</t>
  </si>
  <si>
    <t>Contratista Vicerrectoria Administrativa</t>
  </si>
  <si>
    <t>ORLANDO SANDOVAL ACOSTA</t>
  </si>
  <si>
    <t>PRELIMINARES</t>
  </si>
  <si>
    <t>En el caso de los consorcios y uniones temporales, cada uno de sus integrantes acreditará los requisitos y documentos antes mencionados, tanto si el integrante es persona natural como si es persona jurídica y cada uno de los integrantes deberán tener una participación en la estructura plural no inferior al 30%.</t>
  </si>
  <si>
    <t xml:space="preserve">En el caso de estructura plural, el integrante que aporte la mayor experiencia específica relacionada con el criterio del VTE, deberá tener una participación mínima en la estructura plural del 40%. </t>
  </si>
  <si>
    <t>CONSORCIO TULCAN 2020</t>
  </si>
  <si>
    <t>CONSORCIO UNIDEPOR 2020</t>
  </si>
  <si>
    <t>CONSORCIO DEPORTIVO 2020</t>
  </si>
  <si>
    <t>% PARTICIPACION MINIMA A MAYOR EXPERIENCIA ESPECIFICA</t>
  </si>
  <si>
    <t>Director de obra</t>
  </si>
  <si>
    <t>Residente de obra</t>
  </si>
  <si>
    <r>
      <t xml:space="preserve">Las certificaciones de la experiencia específica </t>
    </r>
    <r>
      <rPr>
        <b/>
        <u/>
        <sz val="10"/>
        <rFont val="Arial Narrow"/>
        <family val="2"/>
      </rPr>
      <t xml:space="preserve">como director o residente de obra </t>
    </r>
    <r>
      <rPr>
        <sz val="10"/>
        <rFont val="Arial Narrow"/>
        <family val="2"/>
      </rPr>
      <t>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</si>
  <si>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t>Profesional en salud ocupacional</t>
  </si>
  <si>
    <t xml:space="preserve">EXPERIENCIA ADICIONAL A LA MÍNIMA HABILITANTE (100 puntos) </t>
  </si>
  <si>
    <t>EXPERIENCIA ADICIONAL DIRECTOR Y RESIDENTE</t>
  </si>
  <si>
    <t>CALIFICACION PERSONAL</t>
  </si>
  <si>
    <t>JOSE LUIS GARZON</t>
  </si>
  <si>
    <t>2.3.2</t>
  </si>
  <si>
    <t>PUNTAJE TOTAL</t>
  </si>
  <si>
    <t>CARTA DE INTENCIÓN
DISPONIBILIDAD 100%</t>
  </si>
  <si>
    <t>HABIL</t>
  </si>
  <si>
    <t>PUNTAJE PERSONAL ASESOR + EXPERIENCIA ADICIONAL</t>
  </si>
  <si>
    <t>APU No.</t>
  </si>
  <si>
    <t>A</t>
  </si>
  <si>
    <t>PISTA DE ATLETISMO</t>
  </si>
  <si>
    <t>1.1</t>
  </si>
  <si>
    <t>Localización y replanteo de pista, incluye localización de áreas de pista, medias lunas, área de entrada maratón, de calentamiento, localización de cerramientos, comisión y equipo de topografía durante la ejecución de la obra.</t>
  </si>
  <si>
    <t>1.2</t>
  </si>
  <si>
    <t>Demolición de viga perimetral de pista atlética existente en concreto, incluyendo cimentación del mismo, dimensión promedio .015 x 0.40; y viga de cerramiento existente calle 10 N y carrera 2 calle 15 N</t>
  </si>
  <si>
    <t>1.3</t>
  </si>
  <si>
    <t xml:space="preserve">Demolición de tarima existente en losa de concreto. </t>
  </si>
  <si>
    <t>1.4</t>
  </si>
  <si>
    <t>Desmonte de malla existente, incluye malla eslabonada, parales en tubo metálico y demás componentes, y traslado de lo retirado hasta la División Administrativa y de Servicios de la Universidad; y malla existente calle 10 N y carrera 2 calle 15 N</t>
  </si>
  <si>
    <t>1.5</t>
  </si>
  <si>
    <t>Excavación a máquina de material de sitio existente para cajeo de pista atlética, áreas de calentamiento, medias lunas</t>
  </si>
  <si>
    <t>1.6</t>
  </si>
  <si>
    <t xml:space="preserve">Excavación manual de material común existente, sin retiro de sobrantes para construcción de viga </t>
  </si>
  <si>
    <t>1.7</t>
  </si>
  <si>
    <t>Acarreo, cargue y retiro en volqueta de material de demoliciones, excavaciones y sobrantes</t>
  </si>
  <si>
    <t>SUBTOTAL</t>
  </si>
  <si>
    <t>BASES Y SUB BASES</t>
  </si>
  <si>
    <t>2.1</t>
  </si>
  <si>
    <t>Construcción de sub base granular de 25 cm de espesor con material granular de tamaño máximo 1.5 pulgadas gradación SBG-38, que cumpla las especificaciones del artículo 320 de INVIAS 2013, compactando esta capa hasta alcanzar un grado de compactación del 95% proctor modificado. Incluye suministrar, extender y compactar con cilindro vibro compactador, produciendo un pendientado longitudinal y transversal de 1.0 % para el manejo de aguas lluvias.</t>
  </si>
  <si>
    <t>2.2</t>
  </si>
  <si>
    <t>Construcción de base granular de 15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</si>
  <si>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2.3</t>
  </si>
  <si>
    <t xml:space="preserve">Mejoramiento de subrasante con material importado similar al existente compuesto por piedra bola, grava, gravilla y arenas, incluye colocar y extender el material en una capa de 15 a 20 cms, con lo cual se logrará una plataforma de soporte homogénea a la estructura y se evitará el ascenso de agua hacia el interior del pavimento. </t>
  </si>
  <si>
    <t>2.4</t>
  </si>
  <si>
    <t>Mejoramiento de subrasante utilizando las partículas y material extraído de la pista existente, el cual se encuentra depositado en el Centro Deportivo Universitario, con lo cual se logrará una plataforma de soporte homogénea a la estructura y se evitará el ascenso de agua hacia el interior del pavimento. que existe en el sitio, compuesto por piedra bola, grava, gravilla y arenas, incluye el acarreo dentro del sitio de la obra, colocar y extender el material en una capa de 15 a 20 cms</t>
  </si>
  <si>
    <t>2.5</t>
  </si>
  <si>
    <t xml:space="preserve">Riego de Imprimación sobre la base granular compactada, utilizando una emulsión asfáltica de rompimiento lento, con una dosificación correspondiente a 1Kg/m2 de ligante residual o sea aproximadamente 1.6 Kg/m2 de emulsión asfáltica, con una concentración del orden de 60% </t>
  </si>
  <si>
    <t>2.6</t>
  </si>
  <si>
    <t>Suministro, instalación y compactación de capa de concreto asfáltico de 5cm de espesor, con una mezcla asfáltica de tamaño máximo 3/4 de pulgada, con una gradación MDC-19, que cumpla con las especificaciones del artículo 450 de INVIAS 2013, correspondiente a una mezcla diseñada para tránsito bajo NT1</t>
  </si>
  <si>
    <t>RECUBRIMIENTO SINTÉTICO</t>
  </si>
  <si>
    <t>3.1</t>
  </si>
  <si>
    <t>Construcción de la superficie de Pista de atletismo con recubrimiento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</si>
  <si>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3.2</t>
  </si>
  <si>
    <t>Construcción de áreas de calentamiento localizadas en medias lunas con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</si>
  <si>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CONCRETOS Y ACEROS DE REFUERZO</t>
  </si>
  <si>
    <t>4.1</t>
  </si>
  <si>
    <t>Concreto de 21 mpa para losa entrada maratón, espesor de losa 0.20 mt, incluye aplicación de antisol, formaleta cuando se requiera, escobeada y acolillada.</t>
  </si>
  <si>
    <t>4.2</t>
  </si>
  <si>
    <t>Concreto de 21 mpa para viga de confinamiento losa entrada maratón incluye formaleta cuando se requiera, bordes redondeados</t>
  </si>
  <si>
    <t>4.3</t>
  </si>
  <si>
    <t>Concreto de 21 mpa para viga de confinamiento y cerramiento tramo A, sección 0.30 mt x 0.80 mt, bordes redondeados incluye formaleta cuando se requiera</t>
  </si>
  <si>
    <t>4.4</t>
  </si>
  <si>
    <t>Concreto de 21 mpa para viga de cerramiento y confinamiento tramo B, sección 1.50 mts + 1.65 mts, bordes redondeados incluye formaleta cuando se requiera</t>
  </si>
  <si>
    <t>4.5</t>
  </si>
  <si>
    <t>Concreto de 21 mpa para viga de cerramiento tramo C sección 0.30 mts x 0.40 mts, bordes redondeados incluye formaleta cuando se requiera</t>
  </si>
  <si>
    <t>4.6</t>
  </si>
  <si>
    <t>Concreto de 21 mpa para viga de cerramiento tramo D sección 0.30 mts x 0.40 mts, bordes redondeados incluye formaleta cuando se requiera</t>
  </si>
  <si>
    <t>4.7</t>
  </si>
  <si>
    <t>Concreto de 21 mpa para viga de cerramiento tramo E sección 0.30 mts x 0.40 mts, bordes redondeados incluye formaleta cuando se requiera</t>
  </si>
  <si>
    <t>4.8</t>
  </si>
  <si>
    <t>Concreto de 21 mpa para viga de cerramiento tramo F sección 0.30 mts x 0.40 mts, bordes redondeados incluye formaleta cuando se requiera</t>
  </si>
  <si>
    <t>4.9</t>
  </si>
  <si>
    <t>Concreto de 21 mpa para viga de cerramiento tramo G sección 0.30 mts x 0.40 mts, bordes redondeados incluye formaleta cuando se requiera</t>
  </si>
  <si>
    <t>4.10</t>
  </si>
  <si>
    <t>Concreto de 21 mpa para viga de cerramiento tramo H sección 0.30 mts x 0.40 mts, bordes redondeados incluye formaleta cuando se requiera. Se incluye viga para cerramiento exterior calle 10 N y carrera 2 con calle 15 N</t>
  </si>
  <si>
    <t>4.11</t>
  </si>
  <si>
    <t>Cajón en concreto ciclópeo para anclaje de elementos metálicos de cerramiento, 60% piedra, 40% concreto. Dimensiones del cajón 0.30 mts x 0.30 mts x 0.30 mts</t>
  </si>
  <si>
    <t>4.12</t>
  </si>
  <si>
    <t>Acero de refuerzo 60000 PSI 420Mpa flejado y amarrado para losa entrada maratón</t>
  </si>
  <si>
    <t>4.13</t>
  </si>
  <si>
    <t>Acero de refuerzo 60000 PSI 420Mpa flejado y amarrado para vigas cimentación y confinamiento de entrada maratón, cerramientos tramo A, B, C, D, E, F, G, H, cerramientos calle 10 N y carrera 2 calle 15 N</t>
  </si>
  <si>
    <t>CARPINTERÍA METÁLICA, CERRAMIENTOS, PUERTAS</t>
  </si>
  <si>
    <t>5.1</t>
  </si>
  <si>
    <t>Cerramiento metálico compuesto por: parales principales en tubería estructural 3" x 3" , 2 mm instalados sobre la viga de cimentación de concreto reforzado, parales que irán cada 3.00 mts, longitud total del elemento 3.00 mts, de los cuales 0.50 mts van anclados en la viga de cimentación, en su parte superior llevará tapa fija metálica soldada al paral; el otro componente son tubos estructurales de 2" x 2", 2 mm, de una longitud de 2.30 mts cada uno, son catorce tubos por tramo de cerramiento de 3.00 mts entre parales; incluye dos traviesas horizontales en tubo estructural 3" x 1 1/2". Todos los elementos debidamente soldados, pulidos y con pintura anticorrosiva negro mate dos capas mínimo.</t>
  </si>
  <si>
    <t>5.2</t>
  </si>
  <si>
    <t>Cerramiento metálico compuesto por: parales y horizontales en tubería redonda negra diámetro 2 1/2 "calibre 0.075", cerramiento instalado sobre la viga de cimentación de concreto reforzado, parales que irán cada 1.50 mts, longitud total del paral 1.50 mts, de los cuales 0.50 mts van anclados en la cimentación; incluye barra superior y dos traviesas horizontales. Todos los elementos debidamente soldados, pulidos y con pintura anticorrosiva negro mate dos capas mínimo. Cerramiento entre graderías y pista atlética, barandas de protección. Altura libre de la baranda 1.0m</t>
  </si>
  <si>
    <t>5.3</t>
  </si>
  <si>
    <t>Construcción e instalación de puertas de acceso especificaciones similares al cerramiento, ancho de cada puerta 2.50 mts a dos naves, altura = 2.50 mts, incluye parales, bisagras . Todos los elementos debidamente soldados, pulidos y con pintura anticorrosiva negro mate dos capas mínimo.</t>
  </si>
  <si>
    <t>und</t>
  </si>
  <si>
    <t>5.4</t>
  </si>
  <si>
    <t>Construcción e instalación de puertas de acceso especificaciones similares al cerramiento, ancho de cada puerta 1.50 mts a dos naves, altura = 2.50 mts, incluye parales, bisagras . Todos los elementos debidamente soldados, pulidos y con pintura anticorrosiva negro mate dos capas mínimo.</t>
  </si>
  <si>
    <t>5.5</t>
  </si>
  <si>
    <t>Construcción e instalación de puertas de acceso en tubería redonda negra diámetro 2 1/2", calibre 0.075", ancho de puerta 1.50 mts a dos naves, altura = 1.00 mts, incluye parales, bisagras. Todos los elementos debidamente soldados, pulidos y con pintura anticorrosiva negro mate dos capas mínimo.</t>
  </si>
  <si>
    <t>5.6</t>
  </si>
  <si>
    <t>Construcción e instalación de puertas de acceso en tubería redonda negra diámetro 2 1/2 ",calibre 0.075 " , ancho de puerta 2.00 mts a dos naves, altura = 1.00 mts, incluye parales, bisagras . Todos los elementos debidamente soldados, pulidos y con pintura anticorrosiva negro mate dos capas mínimo.</t>
  </si>
  <si>
    <t>5.7</t>
  </si>
  <si>
    <t>Construcción e instalación de puertas de acceso especificaciones similares al cerramiento, ancho puerta 4.00 mts a dos naves, altura = 2.50 mts, incluye parales, bisagras . Todos los elementos debidamente soldados, pulidos y con pintura anticorrosiva negro mate dos capas mínimo.</t>
  </si>
  <si>
    <t>5.8</t>
  </si>
  <si>
    <t>Cerramiento metálico baranda de protección compuesto por: parales y horizontales en tubería redonda negra diámetro 2 1/2 ",calibre 0.075 " , baranda instalada sobre la gradería superior, área de movilidad restringida, accesos escaleras. viga de cimentación de concreto reforzado, parales que irán cada 1.50 mts, ; incluye barra superior y dos traviesas horizontales . Todos los elementos debidamente soldados, pulidos y con pintura anticorrosiva negro mate dos capas mínimo.Incluye sistema de fijación mediante platina, chazo expansivo, fijación con epóxico, tornillos . Altura libre de la baranda 1,2m</t>
  </si>
  <si>
    <t>5.9</t>
  </si>
  <si>
    <t>Construcción de elemento barrera de protección para baranda de seguridad de graderias, en vidrio templado espesor 8 mm incoloro fijado e estructura de baranda mediante dos topes de acero por metro lineal. Altura del vidrio 1.00 mts, el valor unitario incluye cinta de prevención y demarcación adhesiva de ancho 0.10 mts, un mt por metro lineal de vidrio instalado.</t>
  </si>
  <si>
    <t>B</t>
  </si>
  <si>
    <t>CONSTRUCCION CUBIERTA DE GRADERIAS</t>
  </si>
  <si>
    <t>PEDESTALES Y ZAPATAS</t>
  </si>
  <si>
    <t>6.1</t>
  </si>
  <si>
    <t>Demolición de losa de concreto de 25cm de espesor, incluye compresor de dos martillos, acarreo y bote de escombros</t>
  </si>
  <si>
    <t>6.2</t>
  </si>
  <si>
    <t xml:space="preserve">Excavación manual de material común existente, sin retiro de sobrantes para construcción de pedestales </t>
  </si>
  <si>
    <t>6.3</t>
  </si>
  <si>
    <t>Solado en concreto de 18MPa para pedestales de 0.07m de espesor</t>
  </si>
  <si>
    <t>6.4</t>
  </si>
  <si>
    <t>Pedestal 700x600x350mm en concreto reforzado f´c 28MPa, incluye formaleta</t>
  </si>
  <si>
    <t>6.5</t>
  </si>
  <si>
    <t>Pedestal 600x600x100mm en concreto reforzado f´c 28MPa, incluye formaleta</t>
  </si>
  <si>
    <t>6.6</t>
  </si>
  <si>
    <t>Zapata 3500x1000x800mm en concreto reforzado f´c 28MPa, incluye formaleta</t>
  </si>
  <si>
    <t>6.7</t>
  </si>
  <si>
    <t>Acero de refuerzo 60000 PSI 420Mpa (Zapatas de cimentación y pedestales) flejado y amarrado</t>
  </si>
  <si>
    <t>PLACA BASE</t>
  </si>
  <si>
    <t>7.1</t>
  </si>
  <si>
    <t xml:space="preserve">CONEXIÓN TIPO 1 PLACA BASE DE TORRES PARA TUBO CIRCULAR 500x500x20mm ACERO A36 EN PEDESTAL EN CONCRETO CON PLETINA DE ACERO AL CARBONO A36 SOLDADA Y PERNADA </t>
  </si>
  <si>
    <t>POSTES Y PIE DE AMIGOS</t>
  </si>
  <si>
    <t>8.1</t>
  </si>
  <si>
    <t>Poste 10" (273mm)X9.30mm fy 3241 kg/cm2 ASTM A-500 grado C</t>
  </si>
  <si>
    <t>8.2</t>
  </si>
  <si>
    <t xml:space="preserve">PLETINA CUADRADA 4"(100MM)X10.0 MM DE ACERO AL CARBONO A36 SOLDADA Y PERNADA </t>
  </si>
  <si>
    <t>8.3</t>
  </si>
  <si>
    <t>Perfil Circular D=6"x4.0mm fy 3241 kg/cm2 ASTM A-500 grado C</t>
  </si>
  <si>
    <t>8.4</t>
  </si>
  <si>
    <t>PLATINA SEMICIRCULAR 200 MM X 12. MM x 12.7 MM DE ACERO AL CARBONO A36 SOLDADA Y PERNADA</t>
  </si>
  <si>
    <t>8.5</t>
  </si>
  <si>
    <t xml:space="preserve">CONEXIÓN PLACA DE MURO 420 X 420 X 12 .7 MM ACERO A=36 ENTRE PLETINA DE MURO Y PIE DE AMIGO CERO A36 AL CARBONO A36 SOLDADA Y PERNADA </t>
  </si>
  <si>
    <t>CABLES TENSORES</t>
  </si>
  <si>
    <t>9.1</t>
  </si>
  <si>
    <t>PLATINA SEMICIRCULAR 200 MMX 12.7 MM DE ACERO AL CARBONO A36 SOLDADA Y PERNADA</t>
  </si>
  <si>
    <t>9.2</t>
  </si>
  <si>
    <t xml:space="preserve">PLETINA DE ARRANQUE PARA 3 TENSORES 400x250x20 MM DE ACERO AL CARBONO A36 SOLDADA </t>
  </si>
  <si>
    <t>9.3</t>
  </si>
  <si>
    <t xml:space="preserve">Grampas para Cable 12.70 mm 1/2" L=292 </t>
  </si>
  <si>
    <t>9.4</t>
  </si>
  <si>
    <t>Tensor de acero inoxidable de 5/8" AISI 304 Ojo - Gancho, Gancho hacia abajo- Ojo Hacia arriba</t>
  </si>
  <si>
    <t>9.5</t>
  </si>
  <si>
    <t>Grillete de acero de 5/8" De trabajo pesado por cada cable</t>
  </si>
  <si>
    <t>9.6</t>
  </si>
  <si>
    <t>Guardacabos de acero de 1/2" en cada terminacion de cable</t>
  </si>
  <si>
    <t>9.7</t>
  </si>
  <si>
    <t>CABLE DE ACERO INOXIDABLE DE 1/2" AISI 316 (7x19) CARGA DE RUPTURA 8620kg 7 TRONES CON19 HILOS CADA UNO QUE CONECTA MURO, POSTE Y CUBIERTA. (INCLUYE GRAMPA Y TENSOR)</t>
  </si>
  <si>
    <t>9.8</t>
  </si>
  <si>
    <t>SOPORTES CIRCULARES PARA CABLES ACERO A36 DE CUBIERTA</t>
  </si>
  <si>
    <t>ESTRUCTURA Y CUBIERTA</t>
  </si>
  <si>
    <t>10.1</t>
  </si>
  <si>
    <t>Perfil Circular 2-1/2x2.5mm fy 3241 kg/cm2 ASTM A-500 grado C</t>
  </si>
  <si>
    <t>10.2</t>
  </si>
  <si>
    <t>Perfil Circular 1-1/2x2.5mm fy 3241 kg/cm2 ASTM A-500 grado C</t>
  </si>
  <si>
    <t>10.3</t>
  </si>
  <si>
    <t>Correa Perfil Circular 2"x2.0mm fy 3241 kg/cm2 ASTM A500 grado C</t>
  </si>
  <si>
    <t>10.4</t>
  </si>
  <si>
    <t>Perfil Circular 4"x6.0mm fy 3241 kg/cm2 ASTM A-500 grado C</t>
  </si>
  <si>
    <t>10.5</t>
  </si>
  <si>
    <t xml:space="preserve">Perfiles Circulares 2 1/2"x 4.0mm fy 3241 kg/cm2 ASTM A-500 grado C, incluye lámina A36 x3mm y ancho 120 mm </t>
  </si>
  <si>
    <t>10.6</t>
  </si>
  <si>
    <t xml:space="preserve">TEJA CURVA DE ANCHO UTIL 500 MMM CAL .24 (0.60MM) RADIO MÍNIMO DE CURVATURA 5000 MM </t>
  </si>
  <si>
    <t>10.7</t>
  </si>
  <si>
    <t>LAMINA DE CARTELA ESPESOR 3 MM EN ACERO AL CARBON A36 SOLDADA A PERFILES CIRCULARES DE CUBIERTA</t>
  </si>
  <si>
    <t>10.8</t>
  </si>
  <si>
    <t>Perfil Circular D=6"x4.0mm para viga de amarre superior entre porticos (5.0m)x14 unds (16.21 kg/ml)</t>
  </si>
  <si>
    <t>10.9</t>
  </si>
  <si>
    <t>10.10</t>
  </si>
  <si>
    <t>SUMINISTRO E INSTALACIÓN DE CANAL DE AGUAS LLUVIAS EN LÁMINA GALVANIZADA CALIBRE 20 DE HASTA 1M DE DESARROLLO, INCLUYE MALLA MULTISEAL Y SOLDADURA, ANDAMIO CERTIFICADO Y EQUIPO PARA TRABAJO EN ALTURAS</t>
  </si>
  <si>
    <t>10.11</t>
  </si>
  <si>
    <t>SUMINISTRO E INSTALACIÓN DE BAJANTE DE AGUAS LLUVIAS EN TUBO PVC DE 4", INCLUYE LIMPIADOR Y SOLDADURA, ANDAMIO CERTIFICADO Y EQUIPO PARA TRABAJO EN ALTURAS</t>
  </si>
  <si>
    <t>10.12</t>
  </si>
  <si>
    <t>PINTURA SOBRE CANALES Y BAJANTES DE AGUAS LLUVIAS EN ESMALTE SINTÉTICO MATE, INCLUYE DISOLVENTE, ANDAMIO CERTIFICADO Y EQUIPO PARA TRABAJO EN ALTURAS</t>
  </si>
  <si>
    <t>C</t>
  </si>
  <si>
    <t>VIAS Y SENDEROS</t>
  </si>
  <si>
    <t>VIA VEHICULAR</t>
  </si>
  <si>
    <t>11.1</t>
  </si>
  <si>
    <t>LOCALIZACIÓN Y REPLANTEO</t>
  </si>
  <si>
    <t>11.2</t>
  </si>
  <si>
    <t>Excavación a máquina para cajeo de vía</t>
  </si>
  <si>
    <t>11.3</t>
  </si>
  <si>
    <t>Construcción de sub base granular de 0.30 mts de espesor con un material granular de tamaño máximo 1.5 pulgadas gradación SBG-38, que cumpla las especificaciones del artículo 320 de INVIAS 2013, compactando este material en dos capas de 0.15 mts, verificando que se alcance un grado de compactación del 95% delproctor modificado ; incluye suministrar, extender y compactar con cilindro vibro compactador.</t>
  </si>
  <si>
    <t>11.4</t>
  </si>
  <si>
    <t>11.5</t>
  </si>
  <si>
    <t xml:space="preserve">Mejoramiento de subrasante con material importado similar al existente compuesto por piedra bola, grava, gravilla y arenas,incluye colocar y extender el material en una capa de 30 cms. , con lo cual se logrará una plataforma de soporte homogenea a la estructura y se evitará el ascenso de agua hacia capas superiores. </t>
  </si>
  <si>
    <t>11.6</t>
  </si>
  <si>
    <t>Concreto de 21 mpa para vigas de confinamiento de via vehicular incluye formaleta cuando se requiera, bordes de viga redondeados.</t>
  </si>
  <si>
    <t>11.7</t>
  </si>
  <si>
    <t xml:space="preserve">Acero de refuerzo 60000 PSI 420Mpa flejado y amarrado para vigas de confinamiento de vía </t>
  </si>
  <si>
    <t>11.8</t>
  </si>
  <si>
    <t>Solado de limpieza en concreto de 14MPa y 0.05m de espesor</t>
  </si>
  <si>
    <t>11.9</t>
  </si>
  <si>
    <t>11.10</t>
  </si>
  <si>
    <t>Suministro e instalación de geotextil T-2400</t>
  </si>
  <si>
    <t>11.11</t>
  </si>
  <si>
    <t>Demolición de losa en concreto existentes en área de acceso vehicular calle 10 N - carrera 3, espesor promedio de 0.20 mts, incluye corte y retiro de acero de refuerzo.</t>
  </si>
  <si>
    <t>11.12</t>
  </si>
  <si>
    <t>Acarreo, cargue y retiro en volqueta de material de demolición de concretos (losa existente en área de acceso vehicular), incluye acero de refuerzo, excavaciones y sobrantes</t>
  </si>
  <si>
    <t>SENDERO PEATONAL</t>
  </si>
  <si>
    <t>12.1</t>
  </si>
  <si>
    <t>12.2</t>
  </si>
  <si>
    <t>Excavación manual de material común existente, sin retiro de sobrantes para cajeo de vía</t>
  </si>
  <si>
    <t>12.3</t>
  </si>
  <si>
    <t>Construcción de sub base granular de 0.15 mts de espesor con un material granular de tamaño máximo 1.5 pulgadas gradación SBG-38, que cumpla las especificaciones del artículo 320 de INVIAS 2013, verificando que se alcance un grado de compactación del 95% delproctor modificado ; incluye suministrar, extender y compactar con cilindro vibro compactador.</t>
  </si>
  <si>
    <t>12.4</t>
  </si>
  <si>
    <t>Construcción de base granular de 10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</si>
  <si>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12.5</t>
  </si>
  <si>
    <t>Concreto de 21 mpa para vigas de confinamiento de sendero peatonal incluye formaleta cuando se requiera, bordes de viga redondeados.</t>
  </si>
  <si>
    <t>12.6</t>
  </si>
  <si>
    <t xml:space="preserve">Acero de refuerzo 60000 PSI 420Mpa flejado y amarrado para vigas de confinamiento de sendero peatonal. </t>
  </si>
  <si>
    <t>12.7</t>
  </si>
  <si>
    <t>12.8</t>
  </si>
  <si>
    <t>12.9</t>
  </si>
  <si>
    <t>Concreto de 21 mpa para andén, espesor de losa 0.15 mts, incluye aplicación de antisol, formaleta cuando se requiera, escobeada y acolillada.</t>
  </si>
  <si>
    <t>12.10</t>
  </si>
  <si>
    <t>Suministro e instalación de malla M-084 / DO84 de 15*15 para retracción y temperatura</t>
  </si>
  <si>
    <t>12.11</t>
  </si>
  <si>
    <t>Mejoramiento de subrasante utilizando las partículas y material extraido de la pista exixtente, el cual se encuentra depositado en el Centro Deportivo Universitario, con lo cual se logrará una plataforma de soporte homogenea a la estructura y se evitará el ascenso de agua hacia el interior del pavimento. que existe en el sitio, compuesto por piedra bola, grava, gravilla y arenas,incluye el acarreo dentro del sitio de la obra, colocar y extender el material en una capa de 15 a 20 cms</t>
  </si>
  <si>
    <t>APARATOS Y ACCESORIOS</t>
  </si>
  <si>
    <t xml:space="preserve">INSTALACION SALTO LONGITUD - TRIPLE </t>
  </si>
  <si>
    <t>13.1</t>
  </si>
  <si>
    <t>Excavación manual de material comun existente, sin retiro de sobrantes</t>
  </si>
  <si>
    <t>13.2</t>
  </si>
  <si>
    <t xml:space="preserve">Base relleno en Grava limpia para Foso Arena </t>
  </si>
  <si>
    <t>13.3</t>
  </si>
  <si>
    <t>Muro de ladrillo común en soga, incluye pega de mortero 1:3</t>
  </si>
  <si>
    <t>13.4</t>
  </si>
  <si>
    <t xml:space="preserve">repello de muros Foso Arena para refuerzo de cara lateral INTERNA en Mortero 1:2 reforzado con malla 15*15 CM 4.5MM, E= 3,5 cm </t>
  </si>
  <si>
    <t>13.5</t>
  </si>
  <si>
    <t>Construcción de piso en concreto pulido de 21MPa de 0.1m de espesor, reforzado con Malla 15*15 CM 4.5MM</t>
  </si>
  <si>
    <t>13.6</t>
  </si>
  <si>
    <t>Bordillo perimetral a la pista atlética en concreto de 21 Mpa de 0.15 x 0.30m, incluye acero de refuerzo, formaleta y vibrador</t>
  </si>
  <si>
    <t>13.7</t>
  </si>
  <si>
    <t>Relleno en roca muerta compactado con rana</t>
  </si>
  <si>
    <t>13.8</t>
  </si>
  <si>
    <t>Suministro y colocación de colchón en Arena Fina Limpia Suelta para foso de 0.5m de espesor</t>
  </si>
  <si>
    <t>CONSTRUCCION FOSO DE RIA</t>
  </si>
  <si>
    <t>14.1</t>
  </si>
  <si>
    <t>14.2</t>
  </si>
  <si>
    <t>Losa de la RIA en concreto reforzado de 28MPa, incluye formaleta</t>
  </si>
  <si>
    <t>14.3</t>
  </si>
  <si>
    <t>14.4</t>
  </si>
  <si>
    <t>Construcción de muro en concreto 28 Mpa de 0.3m de espesor, incluye formaleta</t>
  </si>
  <si>
    <t>14.5</t>
  </si>
  <si>
    <t>Concreto de 28 MPa para viga de confinamiento foso de RIA , sección 0.28 mts x 0.25 mts, bordes redondeados incluye formaleta cuando se requiera</t>
  </si>
  <si>
    <t>14.6</t>
  </si>
  <si>
    <t>Acero de refuerzo 60000 PSI 420Mpa flejado y amarrado para Viga, muro y losa de la RIA</t>
  </si>
  <si>
    <t>14.7</t>
  </si>
  <si>
    <t>Suministro e instalación de tubería Novafort de 16"</t>
  </si>
  <si>
    <t>14.8</t>
  </si>
  <si>
    <t>Barrera obstáculo de la RIA</t>
  </si>
  <si>
    <t>INSTALACIÓN BANCO DE TÉCNICO Y SUPLENTES</t>
  </si>
  <si>
    <t>15.1</t>
  </si>
  <si>
    <t>15.2</t>
  </si>
  <si>
    <t>Excavación manual de material común existente, sin retiro de sobrantes</t>
  </si>
  <si>
    <t>15.3</t>
  </si>
  <si>
    <t>15.4</t>
  </si>
  <si>
    <t>Concreto de 21 mpa para vigas de confinamiento incluye formaleta cuando se requiera, bordes de viga redondeados.</t>
  </si>
  <si>
    <t>15.5</t>
  </si>
  <si>
    <t>Concreto de 21 mpa para losa , espesor de losa 0.20 mts, incluye formaleta cuando se requiera, escobeada y acolillada.</t>
  </si>
  <si>
    <t>15.6</t>
  </si>
  <si>
    <t>Construcción de banca en concreto de 3000 psi Ref. 3/8" cada 0.15 en ambos sentidos,dimensiones: 0,80 mts. Ancho, armada sobre sistema steel deck o similar E:12 cms</t>
  </si>
  <si>
    <t>15.7</t>
  </si>
  <si>
    <t>Acero de refuerzo 60000 PSI 420Mpa flejado y amarrado para losa</t>
  </si>
  <si>
    <t>15.9</t>
  </si>
  <si>
    <t>CONSTRUCCION DE MURO EN LADRILLO ESTRUCTURAL, DIMENSIONES 0.24X0.12X0.065</t>
  </si>
  <si>
    <t>15.10</t>
  </si>
  <si>
    <t>Concreto grauting de 21 Mpa para dovelas en muro ladrillo estructural</t>
  </si>
  <si>
    <t>15.11</t>
  </si>
  <si>
    <t>Asiento tipo estadio</t>
  </si>
  <si>
    <t>15.12</t>
  </si>
  <si>
    <t>D</t>
  </si>
  <si>
    <t>AREA PARA PERSONAS CON MOVILIDAD REDUCIDA Y OBRAS EXTERIORES</t>
  </si>
  <si>
    <t>AREA PARA PERSONAS CON MOVILIDAD REDUCIDA</t>
  </si>
  <si>
    <t>16.1</t>
  </si>
  <si>
    <t>16.2</t>
  </si>
  <si>
    <t>Concreto de 21 mpa para vigas de cimentación incluye formaleta cuando se requiera.</t>
  </si>
  <si>
    <t>16.3</t>
  </si>
  <si>
    <t>16.4</t>
  </si>
  <si>
    <t>16.5</t>
  </si>
  <si>
    <t>Acero de refuerzo 60000 PSI 420Mpa flejado y amarrado para viga cimentación</t>
  </si>
  <si>
    <t>16.6</t>
  </si>
  <si>
    <t>Concreto de 21 mpa para losa de piso , espesor de losa 0.20 mts, incluye aplicación de antisol , formaleta cuando se requiera, escobeada y acolillada.</t>
  </si>
  <si>
    <t>16.7</t>
  </si>
  <si>
    <t>17.0</t>
  </si>
  <si>
    <t>OBRAS EXTERIORES</t>
  </si>
  <si>
    <t>17.1</t>
  </si>
  <si>
    <t>Demolición de sardinel en concreto, incluyendo cimentación del mismo, dimensión promedio .020 x 0.60, incluye retiro y bote de escombros</t>
  </si>
  <si>
    <t>17.2</t>
  </si>
  <si>
    <t>Demolición de andén en concreto, espesor aproximado 0.20 mts, incluye acarreo y bote de escombros</t>
  </si>
  <si>
    <t>17.3</t>
  </si>
  <si>
    <t>Relleno con tierra amarilla, compactado con rana</t>
  </si>
  <si>
    <t>17.4</t>
  </si>
  <si>
    <t>Sardinel trapezoidal en concreto de 21 Mpa de 0.6m de altura por ancho de 0.2-0.3m, incluye formaleta y aplicación de antisol.</t>
  </si>
  <si>
    <t>17.5</t>
  </si>
  <si>
    <t>Concreto de 21 mpa para andén , espesor de losa 0.10 mts, incluye aplicación de antisol , formaleta cuando se requiera, escobeada y acolillada.</t>
  </si>
  <si>
    <t>17.6</t>
  </si>
  <si>
    <t>17.7</t>
  </si>
  <si>
    <t>Construcción de rampas en concreto 21 mpa, espesor 0.15 mts, escobiada y acolillada, incluye estrias</t>
  </si>
  <si>
    <t>17.8</t>
  </si>
  <si>
    <t>Demarcación de áreas con pintura tráfico</t>
  </si>
  <si>
    <t>E</t>
  </si>
  <si>
    <t>COMPONENTE ELECTRICO GRADERÍAS, PISTA Y CANCHA</t>
  </si>
  <si>
    <t>18.0</t>
  </si>
  <si>
    <t>CANALIZACIONES Y CAJAS DE REGI RO - OBRA CIVIL</t>
  </si>
  <si>
    <t>18.1</t>
  </si>
  <si>
    <t>DESMONTE luminarias de poste, retiro de red subterranea que alimentacirtuitos de iluminación de cancha y pista atlética, arranque de 12 postesde concreto de 10-12mts empleando grua con brazo telescópico, y acopioen lugar acordado de todo el material desmontado entregado con oficiorelacionando todos los elementos.</t>
  </si>
  <si>
    <t>Ud</t>
  </si>
  <si>
    <t>18.2</t>
  </si>
  <si>
    <t>Construcción de CAMARA DE INSPECCION para baja tensión de 1.0x1.0x1.0 mts en concreto reforzado (con tapa) 3100 PSI, incluye marco ángulo 2 1/2" x 2 1/2" metálico en ambas fundiciones, terminales tipo campana 2" pvc - Normaoperador de red, ver detalle en plano. Mano de obra construcción cámara, aseo y bote de escombros</t>
  </si>
  <si>
    <t>18.3</t>
  </si>
  <si>
    <t>Construcción CANALIZACION BANCO DE 5 DUCTOS PVC 2" DB + 2DUCTOS PVC 3/4" para alimentador en baja tensión incluye: tubos pvc de 2" DB y 3/4", unión y curvas de 2" y 3/4" pvc donde se requieran, limpiadory pegante pvc, colchón de arena, cinta señalización. Mano de obraconsistente en: excabación a -0.70cm, tendido tubería, relleno compactadocon saltarín, retiro de escombros, aseo.</t>
  </si>
  <si>
    <t>Ml</t>
  </si>
  <si>
    <t>18.4</t>
  </si>
  <si>
    <t>Construcción CANALIZACION BANCO DE 5 DUCTOS PVC 2" DB paraalimentador en baja tensión incluye: tubo pvc de 2 " DB, unión y curvas 2"pvc donde se requieran, limpiador y pegante pvc, colchón de arena, cintaseñalización. Mano de obra consistente en: excabación a -0.70cm, tendidotubería, relleno compactado con saltarín, retiro de escombros, aseo.</t>
  </si>
  <si>
    <t>18.5</t>
  </si>
  <si>
    <t>Construcción CANALIZACION BANCO DE 3 DUCTOS PVC 2" DB paraalimentador en baja tensión incluye: tubo pvc de 2 " DB, unión y curva 2"pvc donde se requiera, limpiador y pegante pvc, colchón de arena, cintaseñalización. Mano de obra consistente en: excabación a -0.70cm, tendidotubería, relleno compactado con saltarín, retiro de escombros, aseo.</t>
  </si>
  <si>
    <t>19.0</t>
  </si>
  <si>
    <t>ALIMENTADORES ILUMINACION CANCHA Y PISTA ATLETICA</t>
  </si>
  <si>
    <t>19.1</t>
  </si>
  <si>
    <t>Suministro y tendido alimentador trifásico 5H - 220v, en cable de cobre aislado THHN/THWN 3x2+2+6T Dd awg, borna terminal de acuerdo al calibre del conductor en cada extremo, tablillas en acrilico de 10x4cm aprox. Mano de obra: Tendido del alimentador por ducteria enterrada, ponchado de puntas de los conductores a su respectivas bornas identificada con cinta de colores según su fase, fijación de marquilla en acrilico en cada caja (sobre el manojo de conductores) indicando el circuito al cual pertenece, conexión alimentador trifásico en bornes del gabinete y cajas, aseo</t>
  </si>
  <si>
    <t>19.2</t>
  </si>
  <si>
    <t>Suministro y tendido alimentador trifásico 4H - 220v, en cable de cobreaislado THHN/THWN 3x2+6T Dd awg, borna terminal de acuerdo al calibredel conductor en cada extremo, tablillas en acrilico de 10x4cm aprox..Mano de obra: Tendido del alimentador por ducteria enterrada, ponchado depuntas de los conductores a su respectivas bornas identificada con cintade colores según su fase, fijacion de marquilla en acrilico en cada caja(sobre el manojo de conductores) indicando el circuito al cual pertenece, conexión alimentador trifasico en bornes del gabinete y cajas, aseo</t>
  </si>
  <si>
    <t>19.3</t>
  </si>
  <si>
    <t>Suministro y tendido alimentador trifásico 4H - 220v, en cable de cobreaislado THHN/THWN 3x4+6T Dd awg, borna terminal de acuerdo al calibre del conductor en cada extremo, tablillas en acrilico de 10x4cm aprox..Mano de obra: Tendido del alimentador por ducteria enterrada, ponchado de puntas de los conductores a su respectivas bornas identificada con cinta de colores según su fase, fijacion de marquilla en acrilico en cada caja(sobre el manojo de conductores) indicando el circuito al cual pertenece,conexión alimentador trifasico en bornes del gabinete y cajas, aseo</t>
  </si>
  <si>
    <t>19.4</t>
  </si>
  <si>
    <t>Suministro y tendido alimentador 01 entre caja inspeccion y reflector led299w, conductores para instalar en 8 postes prfv, cada uno conconductores de cable de cobre aislado 8#10 awg THHN/THWN, longitudtendido 25mts, conectores de resorte y perforación según calibre, tubopvc 1/2" entre caja de inspeccion y poste, terminal y curva. Mano de obra:entubado, cableado, empalmes, aseo.</t>
  </si>
  <si>
    <t>19.5</t>
  </si>
  <si>
    <t>Suministro y tendido alimentador 02 entre caja inspección y reflector led299w, conductores para instalar en 4 postes prfv, cada uno con conductores de cable de cobre aislado 4#10 awg THHN/THWN, longitud tendido 25mts, conectores de resorte y perforación según calibre, tubopvc 1/2" entre caja de inspeccion y poste, terminal y curva. Mano de obra: entubado, cableado, empalmes, aseo.</t>
  </si>
  <si>
    <t>20.0</t>
  </si>
  <si>
    <t>EQUIPO Y ELEMENTOS ILUMINACION CANCHA Y PISTA ATLETICA</t>
  </si>
  <si>
    <t>20.1</t>
  </si>
  <si>
    <t>Suministro e instalación GABINETE METALICO de sobreponer tipo A-CD para montar equipo de CONTROL DE ILUMINACION y protección en baja tensión, Celco. Cerramiento: Nema 1. Lámina: Galvanizada. Calibre 16. Color: RAL 7032. Tipo de Pintura: Electrostática en polvo. Placa paraidentificación en gravoply, 10 x 5cm. Marca CELCO. (Con Certificado deConformidad de Producto según RETIE 2013). Incluye: *Interruptor automático Termomagnético 3x175 - 250 A, CI 55 KA a 230 V/25 KA a 440V. Ref. 3VM1225-4EE32-0AA0. Marca Siemens. *Bloque tipo CDA,trifásico, cuatro hilos, de 300 A, apto para alojar equipos de protección y control. *2 Interruptores automáticos Termomagnéticos 3x35 - 50 A, CI 36KA a 230 V/16 KA a 440 V. Ref. 3VM1150-3EE32-0AA0. Marca Siemens. *2 Interruptores automáticos Termomagnéticos 3x28 - 40 A, CI 36 KA a 230V/16 KA a 440 V. Ref. 3VM1140-3EE32-0AA0. Marca Siemens. *4Contactores magnéticos tripolar tipo Ref. 3RT2027-1AG20, 50 A en AC1/32A en AC3, bobina 120 V, marca Siemens. *4 Tendidos trifásico en calibre #8. *4 Pilotos electrónicos color rojo, Ref. QE22R-110, 22 mm, marca VCPElectric. *4 selectores de muletilla corta tres posiciones fijas 2-0-1, 22 mm,marca Lovato. *4 Cableados de control. *Control iluminación incluye controlador horario digital. *Programador horario digital semanal 110-240Ref. 67DDT0, marca GIC (Lawmayer). *Contactor Tripolar, contactos 1NA, corriente 12A en AC3, 25A en AC1, 4HP a 220Vac, 7,5HP a 440Vac. Ref.:CL01A310T4. Marca General Electric. *Piloto electrónico color rojo, 22 mm220 V, REF. QE22R-220, marca VCP. Control iluminación. *Selector demuletilla corta tres posiciones fijas 2-0-1, 22 mm, marca Lovato. Controliluminación. *Mini interruptor automático de 1x2A, Ref. PLS6-C2, CI 10 KA a220V/400 VAC, marca Moller. *12Placa para identificación en gravo playcon leyenda en bajo relieve, 2x5 cm. *Transporte, seguro y guacal. Manode obra: instalación y fijación del gabinete e instalación de los alimentadores a sus respectivos bornes.</t>
  </si>
  <si>
    <t>20.2</t>
  </si>
  <si>
    <t>Suministro e instalación de BARRAJE TIPO CAPSULA para B.T en caja depaso, incluye barraje premoldeado para baja tension sumergible, elementosde anclaje. Mano de obra: anclaje e instalación de las puntas de losalimentadores, aseo.</t>
  </si>
  <si>
    <t>20.3</t>
  </si>
  <si>
    <t>Instalación y armado de POSTE de POLIESTER REFORZADO FIBRA DEVIDRIO 22mts x 1050 kgf, 4 módulos ensamblables, con escalerilla en PRVFtipo gato (inicio a 5mts del suelo) y canastilla en PRFV para alojar losreflectores, accesorios para fijación de herraje, incluye: transporte,apertura de hueco, hincado y aplomado, servicio de grua con brazotelescopico. aseo</t>
  </si>
  <si>
    <t>20.4</t>
  </si>
  <si>
    <t>Suministro e instalación de PROYECTOR AREALED 160LED, 299W,120-227V, con vidrio, aluminio inyectado a alta presión, estructura robustay estilizada, acabado en pintura en polvo poliestérica, resistente a lacorrosión montaje sobre superficies horizontales y verticales, tarjetas Ledindependientes. Conjunto electrónico separado del conjuto óptico, instaldoen poste PRFV sobre canastilla. Mano de obra consistente en fijación einclinación según memorias de estudio lumínico.</t>
  </si>
  <si>
    <t>21.0</t>
  </si>
  <si>
    <t>TOMAS Y ALUMBRADO EN GRADERIAS</t>
  </si>
  <si>
    <t>21.1</t>
  </si>
  <si>
    <t>SUB-ACOMETIDA TRIFILAR A TABLERO ELECTRICO (TDG a TB1), tendidapor ducto emt 3/4" cable de cobre aislado 2#8+1#8+1#8T awg THHN-THWN, borna terminal de acuerdo al calibre del conductor en cadaextremo, debe quedar las puntas de los conductores ponchadas eidentificadas con cinta de colores según su fase. Mano de obra donde seanecesario de: regata, entubado, resane, cableado, aparateado, aseo.</t>
  </si>
  <si>
    <t>21.2</t>
  </si>
  <si>
    <t>Suministro e instalación TABLERO TRIFILAR (8 ctos) de distribución conpuerta y chapa y espacio para totaizador, incluye protecciones segúnplano, empotrado a pared o sobrepuesto, debe quedar perfectamentepeinado respetando el código de colores, etiquetado indicando los circuitosque maneja y señalizado según norma RETIE. Incluye mano de obra,resanes y aseo.</t>
  </si>
  <si>
    <t>21.3</t>
  </si>
  <si>
    <t>Salida AVISO LUMINOSO y/o LUZ EMERGENCIA 120v en tubería conduit-EMT Ø ½" + accesorios incluye caja 2x4", Conductores en Cu 3 #12THHN/THWN, Toma 15 Amp Levitón con polo a tierra y tapa, Empalmes conconectores de resorte tipo 3M Scotchlok, El toma debe quedar etiquetadocon marquilla alto relieve indicando el circuito al cual pertenece.Tuberíasoportada en losa y pared con grapa galvanizada doble ala y chazometálico de pistola. Mano de obra donde sea necesario de: regata,entubado, resane, cableado, aparateado, aseo.</t>
  </si>
  <si>
    <t>21.4</t>
  </si>
  <si>
    <t>Salida ILUMINACION 120v en tubería conduit EMT Ø ½" + accesorios,incluye caja octogonal, Cajas de empalme en cielo cuando se requiera,Tapa ciega, Prensaestopa, Conductores en Cu 3 #12 awg THHN/THWNlibre de hálogeno (LS) y actos para tender por bandeja (TC), Cableencauchetado 3x16 awg (±0.80 Mt), Tomacorriente y clavija aérea con poloa tierra para conexión a luminaria, El toma debe quedar etiquetado conbanda plástica indicando el circuito al cual pertenece, Empalmes conconectores de resorte tipo 3M Scotchlok, Tubería soportada en losa congrapa galvanizada doble ala y chazo metálico de pistola. Mano de obradonde sea necesario de: regata, entubado, resane, cableado, aparateado,aseo.</t>
  </si>
  <si>
    <t>21.5</t>
  </si>
  <si>
    <t>Salida INTERRUPTOR DOBLE en tubería conduit PVC-EMT Ø ½" +accesorios, incluye caja galvanizada 2x4", Conductores en Cu 3 #12THHN/THWN. Usar color negro para retorno, Interruptor sencillo 15a Levitondecora con borna para aterrizarlo, Empalmes con conectores de resortetipo 3M Scotchlok. Tubería soportada en losa y pared con grapagalvanizada doble ala y chazo metálico de pistola. Mano de obra donde seanecesario de: regata, entubado, resane, cableado, aparateado, aseo.</t>
  </si>
  <si>
    <t>21.6</t>
  </si>
  <si>
    <t>Salida TOMA NORMAL doble monofásico en tubería conduit PVC-EMT Ø ½" + accesorios, incluye caja 2x4" (o 4x4’’ con tapa suplemento), Conductores en Cu 3 #12 THHN/THWN, Toma 15 Amp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t>
  </si>
  <si>
    <t>21.7</t>
  </si>
  <si>
    <t>Alimentador al PRIMER PUNTO DE CIRCUITO en tubería conduit PVC-EMT Ø½" + accesorios, empleado cuando la distancia sobrepasa los 6mts entre el tablero de distribución y el inicio de un circuito, incluye conductores enCu 3 #12 THHN/THWN, Tubería soportada en losa y pared con grapagalvanizada doble ala y chazo metálico de pistola. Mano de obra donde seanecesario de: regata, entubado, resane, cableado, aseo.</t>
  </si>
  <si>
    <t>21.8</t>
  </si>
  <si>
    <t>Suministro e instalación de LAMPARA EMERGENCIA</t>
  </si>
  <si>
    <t>21.9</t>
  </si>
  <si>
    <t>Suministro e instalación de AVISO LUMINOSO "SALIDA", en bandera oaplique</t>
  </si>
  <si>
    <t>21.10</t>
  </si>
  <si>
    <t>Suministro e instalación de LAMPARA HERMETICA 2x18w T8 Sylvania,incluye accesorios y otros</t>
  </si>
  <si>
    <t>21.11</t>
  </si>
  <si>
    <t>Alimentador ESPECIAL TRIFILAR en tubería conduit EMT Ø ¾" +accesorios, incluye caja 4x4" Conductores en Cu 3 #10 THHN/THWN l Toma 50 Amp codelca, Empalmes con conectoresde resorte tipo 3M Scotchlok, El toma debe quedar etiquetadocon marquilla alto relieve indicando el circuito al cualpertenece.Tubería soportada en losa y pared con grapagalvanizada doble ala y chazo metálico de pistola. Mano deobra donde sea necesario de: regata, entubado, resane,cableado, aparateado, aseo.</t>
  </si>
  <si>
    <t>22.0</t>
  </si>
  <si>
    <t>SPT Y PROTECCION CONTRA DESCARGAS ATMOSFERICAS</t>
  </si>
  <si>
    <t>22.1</t>
  </si>
  <si>
    <t>SIPRA - Sistema Integral de Protección Contra Rayos con punta franklinpreventor 3 ref.S60 radio de protección horizontal 64mts, (instalado sobrebayoneta en tubo imc 1 1/2" x 6mts soportado en punta del poste fibra devidrio), bajante en cable de Cu desnudo 1/0 awg extendido hasta el fosode varillas de Cu - Cu de 5/8" x 2.40 mts segun detalle de plano, cintaband it 1/2" y sus hebillas, soldadura termowell de 150 g, bolsa de fabigelde 25 kg por electrodo, caja de inspección en concreto de 60x60 cm contapa y marco en ángulo en ambas fundiciones. Mano de obra montajeSIPRA, aseo.</t>
  </si>
  <si>
    <t>22.2</t>
  </si>
  <si>
    <t>Sistema de Puesta a Tierra - SPT, con un electrodo, en cable de Cudesnudo 6 awg, extendido hasta la varillas Cu - Cu de 5/8" x 2.40 mts, soldadura termowell de 150 g, bolsa de fabigel de 25 kg por electrodo, cajade inspección en concreto de 40x40 cm con tapa y marco en ángulo en ambas fundiciones, modulo de descargadores. Mano de obra tendido hilo e implementación SPT, aseo.</t>
  </si>
  <si>
    <t>COSTOS PLAN DE MANEJO AMBIENTAL (PMA)</t>
  </si>
  <si>
    <t>COSTOS PLAN DE MANEJO DE TRÁNSITO (PMT)</t>
  </si>
  <si>
    <t>DOCUMENTOS JURÍDICOS HABILITANTES</t>
  </si>
  <si>
    <t>DOCUMENTOS FINANCIEROS HABILITANTES</t>
  </si>
  <si>
    <t>DOCUMENTOS TÉCNICOS HABILITANTES</t>
  </si>
  <si>
    <t>EVALUACIÓN FINAL</t>
  </si>
  <si>
    <t xml:space="preserve">Con el fin de verificar la experiencia específica para la contratación del objeto de la presente convocatoria, el proponente debe certificar la ejecución de:
Máximo TRES (3) contratos de construcción y/o adecuación y/o mejoramiento y/o ampliación y/o remodelación de, infraestructura eléctrica y/o cableado estructurado y/o redes de telecomunicaciones de, edificaciones no residenciales, en la cual conste la ejecución de puntos de red y/o voz y/o datos.
Al menos uno de los contratos deberá contener el suministro e instalación de fibra óptica y entre los contratos aportados como experiencia específica del oferente deben acreditar la ejecución de al menos quinientos (500) puntos de red y/o voz y/o datos.
La sumatoria del valor actualizado de los contratos aportados debe ser por una cuantía igual o superior al presupuesto oficial de la presente convocatoria, relacionada con el criterio de VALOR TOTAL EJECUTADO (VTE). Para este criterio (VTE) solo se tendrá en cuenta el valor ejecutado de infraestructura eléctrica u obra eléctrica contenida en los contratos aportados.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pública o privada y, en las que sea posible verificar las actividades ejecutadas en el cumplimiento de los objetos de los respectivos contratos.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ejecutado y liquidado antes del cierre de la presente convocatoria y los documentos que soporten o certifiquen esta experiencia, deberán contener como mínimo Nº del contrato, entidad contratante, objeto, fecha de inicio, fecha de finalización y valor total ejecutado.
La Universidad de Cauca tendrá en cuenta la experiencia que presenten los proponentes en calidad de Consorcio y Unión Temporal, proporcional a su participación en dichas alianzas comerciales.
La Universidad del Cauca se reserva el derecho de verificar la información suministrada por el proponente y de solicitar las aclaraciones que considere convenientes. 
Si el contrato incumple cualquiera de los requisitos anteriores NO SERÁ tenido en cuenta para la evaluación. </t>
  </si>
  <si>
    <t>VTE = 711,34
PO = $624.417.987</t>
  </si>
  <si>
    <t>El oferente deberá diligenciar el Anexo G: EXPERIENCIA ESPECIFICA DEL PROPONENTE que se publicará en el presente proceso, este documento deberá presentarse en medio digital en formato Excel (versión 97 o superior) y adicionalmente en PDF debidamente firmado. 
En caso que el proponente relacione o anexe un número superior a TRES (3) contratos, para efectos de evaluación de la experiencia específica, únicamente se tendrán en cuenta los TRES (3) primeros contratos relacionados en el formulario de experiencia específica (Anexo G) en orden consecutivo. Los proponentes deberán diligenciar toda la información requerida en el formulario de experiencia específica.</t>
  </si>
  <si>
    <r>
      <t xml:space="preserve">Cada contrato que el proponente aporte como experiencia específica debe estar registrado en el RUP y debe encontrarse inscrito en mínimo dos (2) códigos UNSPSC exigido en el numeral 2.1 literal (d) del presente pliego de condiciones y obligatoriamente entre los contratos aportados deberán sumar todos los códigos UNSPSC exigidos. El RUP deberá estar vigente y en firme, de lo contrario el proponente quedará INHABILITADO.
CODIGOS UNSPSC: </t>
    </r>
    <r>
      <rPr>
        <b/>
        <sz val="10"/>
        <rFont val="Arial Narrow"/>
        <family val="2"/>
      </rPr>
      <t>391217 - 721015 - 721515 - 721516 - 811017</t>
    </r>
  </si>
  <si>
    <t>En el caso de Consorcio y/o Uniones Temporales el representante legal debe ser ingeniero eléctrico o ingeniero electricista o ingeniero electromecánico o ingeniero electrónico y formar parte del Consorcio o Unión Temporal. Deberá anexar la tarjeta profesional y la vigencia de la matrícula expedida por la entidad competente. Los consorciados deben ser ingenieros eléctricos o ingenieros electricistas o ingenieros electromecánicos o ingenieros electrónicos (cuando sean personas naturales).</t>
  </si>
  <si>
    <t>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t>
  </si>
  <si>
    <r>
      <t xml:space="preserve">Las certificaciones de la experiencia específica como </t>
    </r>
    <r>
      <rPr>
        <b/>
        <u/>
        <sz val="10"/>
        <rFont val="Arial Narrow"/>
        <family val="2"/>
      </rPr>
      <t>director de obra</t>
    </r>
    <r>
      <rPr>
        <sz val="10"/>
        <rFont val="Arial Narrow"/>
        <family val="2"/>
      </rPr>
      <t xml:space="preserve">,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r>
  </si>
  <si>
    <r>
      <t xml:space="preserve">Las certificaciones de la experiencia específica </t>
    </r>
    <r>
      <rPr>
        <b/>
        <u/>
        <sz val="10"/>
        <rFont val="Arial Narrow"/>
        <family val="2"/>
      </rPr>
      <t>como contratista</t>
    </r>
    <r>
      <rPr>
        <sz val="10"/>
        <rFont val="Arial Narrow"/>
        <family val="2"/>
      </rPr>
      <t>,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Se debe anexar el acta de recibo final de obra y/o acta de liquidación del contrato.</t>
    </r>
  </si>
  <si>
    <r>
      <rPr>
        <b/>
        <sz val="10"/>
        <rFont val="Arial Narrow"/>
        <family val="2"/>
      </rPr>
      <t>Director de obra:</t>
    </r>
    <r>
      <rPr>
        <sz val="10"/>
        <rFont val="Arial Narrow"/>
        <family val="2"/>
      </rPr>
      <t xml:space="preserve"> Un (1) ingeniero eléctrico o ingeniero electricista o ingeniero electromecánico o ingeniero electrónico, con al menos quince </t>
    </r>
    <r>
      <rPr>
        <b/>
        <sz val="10"/>
        <rFont val="Arial Narrow"/>
        <family val="2"/>
      </rPr>
      <t>(15) años</t>
    </r>
    <r>
      <rPr>
        <sz val="10"/>
        <rFont val="Arial Narrow"/>
        <family val="2"/>
      </rPr>
      <t xml:space="preserve"> de experiencia general, contados a partir de la expedición de la matrícula profesional y con una experiencia específica certificada en al menos tres (03) contratos como: </t>
    </r>
    <r>
      <rPr>
        <b/>
        <u/>
        <sz val="10"/>
        <rFont val="Arial Narrow"/>
        <family val="2"/>
      </rPr>
      <t>director de obra</t>
    </r>
    <r>
      <rPr>
        <sz val="10"/>
        <rFont val="Arial Narrow"/>
        <family val="2"/>
      </rPr>
      <t xml:space="preserve"> en construcción y/o adecuación y/o mejoramiento y/o ampliación y/o remodelación de, infraestructura eléctrica y/o cableado estructurado y/o redes de telecomunicaciones de, edificaciones no residenciales; o como </t>
    </r>
    <r>
      <rPr>
        <b/>
        <u/>
        <sz val="10"/>
        <rFont val="Arial Narrow"/>
        <family val="2"/>
      </rPr>
      <t>contratista de obra</t>
    </r>
    <r>
      <rPr>
        <sz val="10"/>
        <rFont val="Arial Narrow"/>
        <family val="2"/>
      </rPr>
      <t xml:space="preserve"> en construcción y/o adecuación y/o mejoramiento y/o ampliación y/o remodelación de, infraestructura eléctrica y/o cableado estructurado y/o redes de telecomunicaciones de, edificaciones no residenciales. 
El Director de obra ofrecido puede ser el mismo oferente cuando se trate de persona natural o persona natural integrante de un consorcio o unión temporal que cumpla con las condiciones y requisitos del presente pliego de condiciones.
</t>
    </r>
  </si>
  <si>
    <r>
      <t xml:space="preserve">a. Cada una de las certificaciones de experiencia especifica en relación con el tiempo laborado en cada uno de los cargos del personal deberá ser </t>
    </r>
    <r>
      <rPr>
        <b/>
        <u/>
        <sz val="10"/>
        <rFont val="Arial Narrow"/>
        <family val="2"/>
      </rPr>
      <t>igual o mayor a tres (3) meses</t>
    </r>
    <r>
      <rPr>
        <sz val="10"/>
        <rFont val="Arial Narrow"/>
        <family val="2"/>
      </rPr>
      <t xml:space="preserve">. </t>
    </r>
  </si>
  <si>
    <t>Técnico Electricista</t>
  </si>
  <si>
    <r>
      <rPr>
        <b/>
        <sz val="10"/>
        <rFont val="Arial Narrow"/>
        <family val="2"/>
      </rPr>
      <t>Residente de Obra.</t>
    </r>
    <r>
      <rPr>
        <sz val="10"/>
        <rFont val="Arial Narrow"/>
        <family val="2"/>
      </rPr>
      <t xml:space="preserve"> Un (1) ingeniero eléctrico o ingeniero electricista o ingeniero electromecánico o ingeniero electrónico con al menos</t>
    </r>
    <r>
      <rPr>
        <b/>
        <sz val="10"/>
        <rFont val="Arial Narrow"/>
        <family val="2"/>
      </rPr>
      <t xml:space="preserve"> cinco (5) años </t>
    </r>
    <r>
      <rPr>
        <sz val="10"/>
        <rFont val="Arial Narrow"/>
        <family val="2"/>
      </rPr>
      <t xml:space="preserve">de experiencia general, contados a partir de la expedición de la matrícula profesional con </t>
    </r>
    <r>
      <rPr>
        <b/>
        <sz val="10"/>
        <rFont val="Arial Narrow"/>
        <family val="2"/>
      </rPr>
      <t>100% de disponibilidad</t>
    </r>
    <r>
      <rPr>
        <sz val="10"/>
        <rFont val="Arial Narrow"/>
        <family val="2"/>
      </rPr>
      <t xml:space="preserve"> de tiempo en obra, y experiencia específica certificada en mínimo tres (03) contratos como: </t>
    </r>
    <r>
      <rPr>
        <b/>
        <u/>
        <sz val="10"/>
        <rFont val="Arial Narrow"/>
        <family val="2"/>
      </rPr>
      <t>director de obra o residente de obra</t>
    </r>
    <r>
      <rPr>
        <sz val="10"/>
        <rFont val="Arial Narrow"/>
        <family val="2"/>
      </rPr>
      <t xml:space="preserve"> en construcción y/o adecuación y/o mejoramiento y/o ampliación y/o remodelación de, infraestructura eléctrica y/o cableado estructurado y/o redes de telecomunicaciones de, edificaciones no residenciales; o como </t>
    </r>
    <r>
      <rPr>
        <b/>
        <u/>
        <sz val="10"/>
        <rFont val="Arial Narrow"/>
        <family val="2"/>
      </rPr>
      <t>contratista de obra</t>
    </r>
    <r>
      <rPr>
        <sz val="10"/>
        <rFont val="Arial Narrow"/>
        <family val="2"/>
      </rPr>
      <t xml:space="preserve"> en construcción y/o adecuación y/o mejoramiento y/o ampliación y/o remodelación de, infraestructura eléctrica y/o cableado estructurado y/o redes de telecomunicaciones de, edificaciones no residenciales.
</t>
    </r>
  </si>
  <si>
    <t>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t>
  </si>
  <si>
    <r>
      <t xml:space="preserve">Las certificaciones de la experiencia específica como </t>
    </r>
    <r>
      <rPr>
        <b/>
        <u/>
        <sz val="10"/>
        <rFont val="Arial Narrow"/>
        <family val="2"/>
      </rPr>
      <t>técnico electricista</t>
    </r>
    <r>
      <rPr>
        <sz val="10"/>
        <rFont val="Arial Narrow"/>
        <family val="2"/>
      </rPr>
      <t>,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se debe anexar el acta de recibo final de obra y/o acta de liquidación del contrato.</t>
    </r>
  </si>
  <si>
    <t>La acreditación de la experiencia general será soportada con:
a) Documento que acredite el Título profesional o técnico o tecnólogo o postgrado en un área de salud ocupacional.
b) Resolución que le concede licencia para prestar servicios en salud ocupacional, expedida por entidad competente.
c) Carta de compromiso (Anexo H), debidamente suscrita.</t>
  </si>
  <si>
    <r>
      <t xml:space="preserve">Las certificaciones de la experiencia específica como </t>
    </r>
    <r>
      <rPr>
        <b/>
        <u/>
        <sz val="10"/>
        <rFont val="Arial Narrow"/>
        <family val="2"/>
      </rPr>
      <t>profesional SISOMA</t>
    </r>
    <r>
      <rPr>
        <sz val="10"/>
        <rFont val="Arial Narrow"/>
        <family val="2"/>
      </rPr>
      <t xml:space="preserve">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</si>
  <si>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r>
      <rPr>
        <b/>
        <sz val="10"/>
        <rFont val="Arial Narrow"/>
        <family val="2"/>
      </rPr>
      <t>Técnico Electricista.</t>
    </r>
    <r>
      <rPr>
        <sz val="10"/>
        <rFont val="Arial Narrow"/>
        <family val="2"/>
      </rPr>
      <t xml:space="preserve"> Dos (2) técnicos electricistas con al menos </t>
    </r>
    <r>
      <rPr>
        <b/>
        <sz val="10"/>
        <rFont val="Arial Narrow"/>
        <family val="2"/>
      </rPr>
      <t xml:space="preserve">cinco (5) años </t>
    </r>
    <r>
      <rPr>
        <sz val="10"/>
        <rFont val="Arial Narrow"/>
        <family val="2"/>
      </rPr>
      <t>de experiencia general, contados a partir de la expedición de la matrícula profesional CONTEC T1, con 1</t>
    </r>
    <r>
      <rPr>
        <b/>
        <sz val="10"/>
        <rFont val="Arial Narrow"/>
        <family val="2"/>
      </rPr>
      <t>00% de disponibilidad</t>
    </r>
    <r>
      <rPr>
        <sz val="10"/>
        <rFont val="Arial Narrow"/>
        <family val="2"/>
      </rPr>
      <t xml:space="preserve"> de tiempo en obra, y experiencia específica certificada en al menos tres (03) contratos como: </t>
    </r>
    <r>
      <rPr>
        <b/>
        <u/>
        <sz val="10"/>
        <rFont val="Arial Narrow"/>
        <family val="2"/>
      </rPr>
      <t>técnico electricista</t>
    </r>
    <r>
      <rPr>
        <sz val="10"/>
        <rFont val="Arial Narrow"/>
        <family val="2"/>
      </rPr>
      <t xml:space="preserve"> en construcción y/o adecuación y/o mejoramiento y/o ampliación y/o remodelación de infraestructura eléctrica y/o cableado estructurado y/o redes de telecomunicaciones de, edificaciones no residenciales. 
Adicionalmente deberá presentar certificado de entrenamiento o reentrenamiento de trabajo seguro en alturas nivel avanzado vigente, es decir con fecha de expedición que no supere un (1) año a la fecha de cierre de la presente convocatoria.</t>
    </r>
  </si>
  <si>
    <r>
      <rPr>
        <b/>
        <sz val="10"/>
        <rFont val="Arial Narrow"/>
        <family val="2"/>
      </rPr>
      <t>Profesional en salud ocupacional.</t>
    </r>
    <r>
      <rPr>
        <sz val="10"/>
        <rFont val="Arial Narrow"/>
        <family val="2"/>
      </rPr>
      <t xml:space="preserve"> Un (1) profesional en un área de salud ocupacional o tecnólogo en salud ocupacional o técnico en salud ocupacional o profesional con postgrado en un área de salud ocupacional, los cuales deberán certificar al menos </t>
    </r>
    <r>
      <rPr>
        <b/>
        <sz val="10"/>
        <rFont val="Arial Narrow"/>
        <family val="2"/>
      </rPr>
      <t>tres (3) años</t>
    </r>
    <r>
      <rPr>
        <sz val="10"/>
        <rFont val="Arial Narrow"/>
        <family val="2"/>
      </rPr>
      <t xml:space="preserve"> de experiencia general, contados a partir de expedición de la resolución que le concede licencia para prestar servicios en salud ocupacional. Su disponibilidad para el proyecto debe ser </t>
    </r>
    <r>
      <rPr>
        <b/>
        <sz val="10"/>
        <rFont val="Arial Narrow"/>
        <family val="2"/>
      </rPr>
      <t>100% de tiempo en obra</t>
    </r>
    <r>
      <rPr>
        <sz val="10"/>
        <rFont val="Arial Narrow"/>
        <family val="2"/>
      </rPr>
      <t>. La licencia deberá estar vigente a la fecha de cierre de la presente convocatoria y experiencia específica certificada en la participación de al menos un (1) contrato como:</t>
    </r>
    <r>
      <rPr>
        <b/>
        <sz val="10"/>
        <rFont val="Arial Narrow"/>
        <family val="2"/>
      </rPr>
      <t xml:space="preserve"> </t>
    </r>
    <r>
      <rPr>
        <b/>
        <u/>
        <sz val="10"/>
        <rFont val="Arial Narrow"/>
        <family val="2"/>
      </rPr>
      <t>profesional SISOMA</t>
    </r>
    <r>
      <rPr>
        <sz val="10"/>
        <rFont val="Arial Narrow"/>
        <family val="2"/>
      </rPr>
      <t xml:space="preserve"> en construcción y/o adecuación y/o mejoramiento y/o ampliación y/o remodelación de, infraestructura eléctrica y/o cableado estructurado y/o redes de telecomunicaciones de, edificaciones no residenciales. 
Adicionalmente deberá presentar certificado de entrenamiento o reentrenamiento de trabajo seguro en alturas nivel avanzado vigente, es decir con fecha de expedición que no supere un (1) año a la fecha de cierre de la presente convocatoria.</t>
    </r>
  </si>
  <si>
    <t>2.3.1</t>
  </si>
  <si>
    <t>ALCALA SAS</t>
  </si>
  <si>
    <t>CONVOCATORIA No. 024-2020</t>
  </si>
  <si>
    <r>
      <t xml:space="preserve">CODIGOS UNSPSC:
</t>
    </r>
    <r>
      <rPr>
        <b/>
        <sz val="10"/>
        <color rgb="FFFF0000"/>
        <rFont val="Calibri"/>
        <family val="2"/>
        <scheme val="minor"/>
      </rPr>
      <t>391217 - 721015 - 721515 - 721516 - 811017</t>
    </r>
  </si>
  <si>
    <r>
      <t xml:space="preserve">CODIGOS UNSPSC:
</t>
    </r>
    <r>
      <rPr>
        <b/>
        <sz val="10"/>
        <color rgb="FFFF0000"/>
        <rFont val="Calibri"/>
        <family val="2"/>
        <scheme val="minor"/>
      </rPr>
      <t>391217 - 721015 - 721515 - 721516</t>
    </r>
  </si>
  <si>
    <r>
      <t xml:space="preserve">CONTRATO No. 1
</t>
    </r>
    <r>
      <rPr>
        <b/>
        <sz val="10"/>
        <rFont val="Arial Narrow"/>
        <family val="2"/>
      </rPr>
      <t>391217 - 721015 - 721515 - 721516 - 811017</t>
    </r>
    <r>
      <rPr>
        <sz val="10"/>
        <rFont val="Arial Narrow"/>
        <family val="2"/>
      </rPr>
      <t xml:space="preserve">
CONTRATO No. 2
</t>
    </r>
    <r>
      <rPr>
        <b/>
        <sz val="10"/>
        <rFont val="Arial Narrow"/>
        <family val="2"/>
      </rPr>
      <t xml:space="preserve">391217 - 721015 - 721515 - 721516 - 811017
</t>
    </r>
    <r>
      <rPr>
        <sz val="10"/>
        <rFont val="Arial Narrow"/>
        <family val="2"/>
      </rPr>
      <t>CONTRATO No. 3</t>
    </r>
    <r>
      <rPr>
        <b/>
        <sz val="10"/>
        <rFont val="Arial Narrow"/>
        <family val="2"/>
      </rPr>
      <t xml:space="preserve">
391217 - 721015 - 721515 - 721516</t>
    </r>
  </si>
  <si>
    <t>APORTA ANEXO G EXPERIENCIA ESPECIFICA EN PDF DEBIDAMENTE SUSCRITO</t>
  </si>
  <si>
    <t>En ofertas presentadas por consorcios o uniones temporales, cada uno de los integrantes debe acreditar experiencia especifica como mínimo el 30% del presupuesto oficial relacionada con el criterio del VTE y en máximo TRES (3) contratos (pudiendo incluir los contratos que se aportan para acreditar la experiencia específica del proponente plural, aunque no necesariamente deben ser coincidentes la experiencia que aporta el proponente plural con la mínima exigida a cada miembro de la figura asociativa, sin embargo, se mantienen idénticos los requisitos para que pueda ser considerada experiencia específica habilitante). Para este criterio (VTE) solo se tendrá en cuenta el valor ejecutado de infraestructura eléctrica u obra eléctrica contenida en los contratos aportados.   VTE min = 213,40    $187.325.396</t>
  </si>
  <si>
    <t>El representante legal de la persona Jurídica, debe ser ingeniero eléctrico o ingeniero electricista o ingeniero electromecánico o ingeniero electrónico, si no posee título académico en esta profesión, la propuesta deberá ser avalada por un ingeniero eléctrico o ingeniero electricista o ingeniero electromecánico o ingeniero electrónico, matriculado, en virtud de lo previsto en el artículo 20 de la Ley 842 de 2003, quien deberá cumplir con los requisitos antes enunciados.</t>
  </si>
  <si>
    <t>INGENIERO ELECTRICISTA
FECHA EXP. M.P. 1985</t>
  </si>
  <si>
    <t>ING. ELECTRONICO
FECHA EXP. M.P. 2013
ING. ELECTRICISTA
FECHA EXP. M.P. 2014</t>
  </si>
  <si>
    <t>APORTA TARJETA PROFESIONAL
VIGENCIA M.P. COPNIA EXP. 28-OCT-2020
CARTA DE INTENCIÓN
DISPONIBILIDAD 50%</t>
  </si>
  <si>
    <r>
      <rPr>
        <b/>
        <sz val="10"/>
        <rFont val="Arial Narrow"/>
        <family val="2"/>
      </rPr>
      <t>TECNICO No. 01</t>
    </r>
    <r>
      <rPr>
        <sz val="10"/>
        <rFont val="Arial Narrow"/>
        <family val="2"/>
      </rPr>
      <t xml:space="preserve">
CONTRATO No. 1: 104 DÍAS
CONTRATO No. 2: 164 DIAS
CONTRATO No. 3: 16 MESES
</t>
    </r>
    <r>
      <rPr>
        <b/>
        <sz val="10"/>
        <rFont val="Arial Narrow"/>
        <family val="2"/>
      </rPr>
      <t>TECNICO No. 02</t>
    </r>
    <r>
      <rPr>
        <sz val="10"/>
        <rFont val="Arial Narrow"/>
        <family val="2"/>
      </rPr>
      <t xml:space="preserve">
CONTRATO No. 1: 104 DÍAS
CONTRATO No. 2: 164 DIAS
CONTRATO No. 3: 16 MESES</t>
    </r>
  </si>
  <si>
    <r>
      <t xml:space="preserve">INGENIERO INDUSTRIAL ESPECIALISTA EN SALUD OCUPACIONAL
APORTA RESOLUCION DE LICENCIA
FECHA EXP. RES. 21-JUL-2020
APORTA CERTIFICADO ENTRENAMIENTO DE TRABAJO SEGURO EN ALTURAS
FECHA EXP. 02-JUL-2019
</t>
    </r>
    <r>
      <rPr>
        <sz val="10"/>
        <color rgb="FFFF0000"/>
        <rFont val="Arial Narrow"/>
        <family val="2"/>
      </rPr>
      <t>EN ATENCIÓN AL ARTICULO 2 DE LA RESOLUCIÓN No. 1248 DEL 03 DE JULIO DE 2020, LA CERTIFICACIÓN DE ENTRENAMIENTO DE TRABAJO SEGURO EN ALTURAS APORTADA NO ESTA VIGENTE.</t>
    </r>
  </si>
  <si>
    <t>CONTRATO No. 1
164 DIAS
CONTRATO No. 2
16 MESES
CONTRATO No. 3
574 DIAS</t>
  </si>
  <si>
    <t>2.3.3.</t>
  </si>
  <si>
    <t>CERTIFICADOS DE CONFORMIDAD RETIE DE MATERIALES ELECTRICOS</t>
  </si>
  <si>
    <t xml:space="preserve">El oferente deberá anexar el certificado de conformidad de los siguientes insumos o materiales que se instalaran en el proyecto de acuerdo al reglamento técnico establecido en RETIE.
● Cable UTP categoría 6A
● Conector Jack RJ45
● Bandeja metálica galvanizada en caliente con tapa ancho 30 cm y accesorios de fijación y distribución.
● Bandeja metálica galvanizada en caliente tipo malla ancho 30 cm y accesorios de fijación y distribución.
● Fibra óptica multimodo mínimo 6 hilos 50/125. OM4 Lszh = low smoke zero halogen
</t>
  </si>
  <si>
    <t>2.3.4.</t>
  </si>
  <si>
    <t xml:space="preserve"> PROTOCOLO DE BIOSEGURIDAD Y PAPSO DEL OFERENTE</t>
  </si>
  <si>
    <t xml:space="preserve">El proponente debe presentar el Protocolo de Bioseguridad y el Plan de Aplicación del Protocolo Sanitario para la Obra (PAPSO) a implementar durante la ejecución del objeto contractual de la presente convocatoria, los cuales deben atender los lineamientos establecidos por el Gobierno Nacional mediante la Resolución No. 666 del 24 de abril de 2020 y la Circular Conjunta No. 001 del 11 de abril de 2020. El Protocolo de Bioseguridad y PAPSO deberán ser suscritos por el proponente y el profesional en salud ocupacional propuesto en la oferta. Este será validado por el Área de Salud Ocupacional de la Universidad del Cauca, como requisito habilitante.
</t>
  </si>
  <si>
    <t>2.3.5.</t>
  </si>
  <si>
    <t>CARTA DE COMPROMISO PAPSO (Anexo K)</t>
  </si>
  <si>
    <t xml:space="preserve">El director de obra o proponente debe anexar la Carta de Compromiso suscrita (Anexo K), en la cual se comprometa a dar cumplimiento a la implementación del Plan de Aplicación del Protocolo Sanitario para la Obra (PAPSO) propuesto por el oferente adjudicatario para la ejecución del proyecto.
</t>
  </si>
  <si>
    <t>PRESENTA CARTA DE COMPROMISO PAPSO (ANEXO K) SUSCRITO POR EL DIRECTOR DE OBRA PROPUESTO</t>
  </si>
  <si>
    <t>APORTA CARTA DE PRESENTACIÓN DE LA PROPUESTA SUSCRITA POR EL REPRESENTANTE LEGAL DE LA PERSONA JURIDICA Y ABONADA POR UN INGENIERO ELECTRICISTA</t>
  </si>
  <si>
    <t>LILA ALEJANDRA GARZON</t>
  </si>
  <si>
    <t>POLIOBRAS SAS</t>
  </si>
  <si>
    <t>ASESOR EN REDES DE TELECOMUNICACIONES, Y REDES INALAMBRICAS Y CABLEADAS</t>
  </si>
  <si>
    <t>ASESOR EN REDES DE TELECOMUNICACIONES, Y REDES INALAMBRICAS Y CABLEADAS DURANTE LA EJECUCIÓN DE LA OBRA, CON DEDICACIÓN MÍNIMA DE 20% (200 puntos)</t>
  </si>
  <si>
    <t>La acreditación de la experiencia general será soportada con: 
a. La vigencia de la matrícula expedida por el organismo competente, con antelación no mayor a seis (6) meses contados a partir de la fecha de cierre del presente proceso de selección.
b. Copia de la tarjeta o matrícula profesional según corresponda
c. Copia del diploma o acta de grado mediante la cual obtuvo el título de postgrado
d. Carta de compromiso original (Anexo H), debidamente suscrita.</t>
  </si>
  <si>
    <t>Las certificaciones de la experiencia específica como consultor o asesor, en redes de telecomunicaciones o en redes y comunicaciones,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se debe anexar el acta de recibo final de obra y/o acta de liquidación del contrato.</t>
  </si>
  <si>
    <r>
      <t>a. La certificación de experiencia especifica en relación con el tiempo laborado en cada uno de los cargos del personal asesor deberá ser</t>
    </r>
    <r>
      <rPr>
        <b/>
        <u/>
        <sz val="10"/>
        <rFont val="Arial Narrow"/>
        <family val="2"/>
      </rPr>
      <t xml:space="preserve"> igual o mayor a tres (3) meses</t>
    </r>
    <r>
      <rPr>
        <sz val="10"/>
        <rFont val="Arial Narrow"/>
        <family val="2"/>
      </rPr>
      <t xml:space="preserve">. 
e. </t>
    </r>
    <r>
      <rPr>
        <b/>
        <u/>
        <sz val="10"/>
        <rFont val="Arial Narrow"/>
        <family val="2"/>
      </rPr>
      <t>El ingeniero residente no puede ser el mismo asesor en cualquiera de las disciplinas</t>
    </r>
    <r>
      <rPr>
        <sz val="10"/>
        <rFont val="Arial Narrow"/>
        <family val="2"/>
      </rPr>
      <t xml:space="preserve"> que se mencionan en el numeral 3.2.2 de estos pliegos de condiciones y que son sujetos a asignación de puntaje.  En el caso en que llegase a darse esta situación, y si el ingeniero residente cumple con todas las condiciones habilitantes, sería habilitado, pero no sería sujeto a asignación de puntaje.</t>
    </r>
  </si>
  <si>
    <r>
      <t>a. La certificación de experiencia especifica en relación con el tiempo laborado en cada uno de los cargos del personal asesor deberá ser</t>
    </r>
    <r>
      <rPr>
        <b/>
        <u/>
        <sz val="10"/>
        <rFont val="Arial Narrow"/>
        <family val="2"/>
      </rPr>
      <t xml:space="preserve"> igual o mayor a tres (3) meses</t>
    </r>
    <r>
      <rPr>
        <sz val="10"/>
        <rFont val="Arial Narrow"/>
        <family val="2"/>
      </rPr>
      <t xml:space="preserve">. </t>
    </r>
  </si>
  <si>
    <r>
      <t xml:space="preserve">El asesor en redes de telecomunicaciones, y redes inalámbricas y cableadas debe ser un ingeniero electrónico o ingeniero de sistemas o ingeniero eléctrico o ingeniero electricista, con título de postgrado (especialización y/o maestría y/o doctorado) en redes de telecomunicaciones o en redes y comunicaciones o en distribución de redes, sistema de transmisión y distribución de energía, con experiencia general igual o superior a </t>
    </r>
    <r>
      <rPr>
        <b/>
        <sz val="10"/>
        <rFont val="Arial Narrow"/>
        <family val="2"/>
      </rPr>
      <t>ocho (8) años</t>
    </r>
    <r>
      <rPr>
        <sz val="10"/>
        <rFont val="Arial Narrow"/>
        <family val="2"/>
      </rPr>
      <t xml:space="preserve"> contados a partir de la obtención del título de postgrado, y con experiencia específica certificada con participación de al menos un (01) contrato como: </t>
    </r>
    <r>
      <rPr>
        <b/>
        <sz val="10"/>
        <rFont val="Arial Narrow"/>
        <family val="2"/>
      </rPr>
      <t>consultor o asesor</t>
    </r>
    <r>
      <rPr>
        <sz val="10"/>
        <rFont val="Arial Narrow"/>
        <family val="2"/>
      </rPr>
      <t>, en redes de telecomunicaciones o en redes y comunicaciones, en construcción y/o adecuación y/o mejoramiento y/o ampliación y/o remodelación de, infraestructura eléctrica y/o cableado estructurado y/o redes de telecomunicaciones de, edificaciones no residenciales.</t>
    </r>
  </si>
  <si>
    <t>INGENIERO ELECTRICISTA
FECHA EXP. M.P. 2001</t>
  </si>
  <si>
    <t>APORTA TARJETA PROFESIONAL
VIGENCIA M.P.  EXP. 24-SEP-2020
ESPECIALISTA EN SISTEMAS DE TRASMISIÓN DE LA ENERGIA ELECTRICA EXP. DIC-2011
CARTA DE INTENCIÓN DISPONIBILIDAD 20%</t>
  </si>
  <si>
    <t>CONTRATO No. 1
8 MESES
CONTRATO No. 2
164 DIAS
CONTRATO No. 3
6 MESES</t>
  </si>
  <si>
    <r>
      <t xml:space="preserve">Cumplido el requisito mínimo habilitante de PERSONAL MÍNIMO REQUERIDO, se otorgará puntaje adicional a la experiencia especifica del ingeniero director y del ingeniero residente, superior a la mínima requerida y acreditada por él oferente, así: 
</t>
    </r>
    <r>
      <rPr>
        <b/>
        <sz val="10"/>
        <rFont val="Arial Narrow"/>
        <family val="2"/>
      </rPr>
      <t>Director</t>
    </r>
    <r>
      <rPr>
        <sz val="10"/>
        <rFont val="Arial Narrow"/>
        <family val="2"/>
      </rPr>
      <t xml:space="preserve">: En al menos un (01) contrato adicional como: </t>
    </r>
    <r>
      <rPr>
        <b/>
        <sz val="10"/>
        <rFont val="Arial Narrow"/>
        <family val="2"/>
      </rPr>
      <t>director de obra</t>
    </r>
    <r>
      <rPr>
        <sz val="10"/>
        <rFont val="Arial Narrow"/>
        <family val="2"/>
      </rPr>
      <t xml:space="preserve"> en construcción y/o adecuación y/o mejoramiento y/o ampliación y/o emodelación de, infraestructura eléctrica y/o cableado estructurado y/o redes de telecomunicaciones de, edificaciones no residenciales o como </t>
    </r>
    <r>
      <rPr>
        <b/>
        <sz val="10"/>
        <rFont val="Arial Narrow"/>
        <family val="2"/>
      </rPr>
      <t>contratista de obra</t>
    </r>
    <r>
      <rPr>
        <sz val="10"/>
        <rFont val="Arial Narrow"/>
        <family val="2"/>
      </rPr>
      <t xml:space="preserve"> en construcción y/o adecuación y/o mejoramiento y/o ampliación y/o remodelación de, infraestructura eléctrica y/o cableado estructurado y/o redes de telecomunicaciones de, edificaciones no residenciales.
</t>
    </r>
    <r>
      <rPr>
        <b/>
        <sz val="10"/>
        <rFont val="Arial Narrow"/>
        <family val="2"/>
      </rPr>
      <t>Residente</t>
    </r>
    <r>
      <rPr>
        <sz val="10"/>
        <rFont val="Arial Narrow"/>
        <family val="2"/>
      </rPr>
      <t xml:space="preserve">: En al menos un (01) contrato adicional como: </t>
    </r>
    <r>
      <rPr>
        <b/>
        <sz val="10"/>
        <rFont val="Arial Narrow"/>
        <family val="2"/>
      </rPr>
      <t>director de obra o residente de obra</t>
    </r>
    <r>
      <rPr>
        <sz val="10"/>
        <rFont val="Arial Narrow"/>
        <family val="2"/>
      </rPr>
      <t xml:space="preserve"> en construcción y/o adecuación y/o mejoramiento y/o ampliación y/o remodelación de, infraestructura eléctrica y/o cableado estructurado y/o redes de telecomunicaciones de, edificaciones no residenciales o como </t>
    </r>
    <r>
      <rPr>
        <b/>
        <sz val="10"/>
        <rFont val="Arial Narrow"/>
        <family val="2"/>
      </rPr>
      <t>contratista de obra</t>
    </r>
    <r>
      <rPr>
        <sz val="10"/>
        <rFont val="Arial Narrow"/>
        <family val="2"/>
      </rPr>
      <t xml:space="preserve"> en construcción y/o adecuación y/o mejoramiento y/o ampliación y/o remodelación de, infraestructura eléctrica y/o cableado estructurado y/o redes de telecomunicaciones de, edificaciones no residenciales.
Las certificaciones de la experiencia específica como director o residente de obra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r>
  </si>
  <si>
    <t>NÚMERO DE CUADRILLAS SIMULTANEAS DE TRABAJO (100 PUNTOS)</t>
  </si>
  <si>
    <t>3.2.4.</t>
  </si>
  <si>
    <t>3.2.3.</t>
  </si>
  <si>
    <t>3.2.2.</t>
  </si>
  <si>
    <t xml:space="preserve">Se otorgará puntaje al proponente que presente carta de compromiso, debidamente suscrita en la que se comprometa a ejecutar el contrato objeto de esta convocatoria, de acuerdo al número de cuadrillas de trabajo simultáneas ofrecidas, cada cuadrilla deberá estar compuesta por un (1) oficial y tres ayudantes (3) ayudantes.
</t>
  </si>
  <si>
    <r>
      <rPr>
        <b/>
        <sz val="9"/>
        <rFont val="Arial Narrow"/>
        <family val="2"/>
      </rPr>
      <t>DIRECTOR DE OBRA</t>
    </r>
    <r>
      <rPr>
        <sz val="9"/>
        <rFont val="Arial Narrow"/>
        <family val="2"/>
      </rPr>
      <t xml:space="preserve">
CONTRATO No. 1 ADICIONAL
130 DIAS
CONTRATO No. 2 ADICIONAL
105 MESES
</t>
    </r>
    <r>
      <rPr>
        <b/>
        <sz val="9"/>
        <rFont val="Arial Narrow"/>
        <family val="2"/>
      </rPr>
      <t>RESIDENTE DE OBRA</t>
    </r>
    <r>
      <rPr>
        <sz val="9"/>
        <rFont val="Arial Narrow"/>
        <family val="2"/>
      </rPr>
      <t xml:space="preserve">
CONTRATO No. 1 ADICIONAL
8 MESES
CONTRATO No. 2 ADICIONAL
105 DIAS</t>
    </r>
  </si>
  <si>
    <t>CONTRATO No. 1
104 DÍAS
CONTRATO No. 2
164 DIAS
CONTRATO No. 3
16 MESES
CONTRATO No. 4
574 DIAS</t>
  </si>
  <si>
    <t>APORTA TARJETA PROFESIONAL ELECTRONICO
VIGENCIA M.P. EXP. 04-SEP-2020
APORTA TARJETA PROFESIONAL ELECTRICISTA
VIGENCIA M.P. EXP. 04-SEP-2020
CARTA DE INTENCIÓN
DISPONIBILIDAD 100%</t>
  </si>
  <si>
    <r>
      <t xml:space="preserve">CONTRATO No. 1
APORTA CERTIFICACIÓN Y ACTA DE LIQUIDAIÓN SUSCRITA POR ENTIDAD PUBLICA DONDE ACREDITA SUMINISTRO, INSTALACIÓN Y PUESTA EN FUNCIONAMIENTO DEL SISTEMA DE CABLEADO ESTRUCTURADO DE EDIFICACION NO RESIDENCIAL
</t>
    </r>
    <r>
      <rPr>
        <sz val="10"/>
        <color rgb="FFFF0000"/>
        <rFont val="Arial Narrow"/>
        <family val="2"/>
      </rPr>
      <t>EN LA DOCUMENTACIÓN APORTADA SE EVIDENCIA LA EJECUCIÓN DE PUNTOS DE RED, PERO NO SE ACREDITA EL RECIBO A SATISFACCIÓN DE LA ENTIDAD CONTRATANTE DEL NUMERO DE PUNTOS DE DATOS FINALMENTE INSTALADOS, ES DECIR NO SE ILUSTRAN CANTIDADES EJECUTADAS.</t>
    </r>
    <r>
      <rPr>
        <sz val="10"/>
        <rFont val="Arial Narrow"/>
        <family val="2"/>
      </rPr>
      <t xml:space="preserve">
CONTRATO No. 2
APORTA CERTIFICACIÓN Y ACTA DE LIQUIDAIÓN SUSCRITA POR ENTIDAD PUBLICA DONDE ACREDITA ADQUISICIÓN, INSTALACIÓN, CONFIGURACIÓN Y AMPLIACIÓN DE CABLEADO ESTRUCTURADO EN EDIFICACIÓN NO RESIDENCIAL.
EN LA DOCUMENTACIÓN APORTADA SE EVIDENCIA LA EJECUCIÓN DE FIBRA OPTICA Y 395 PUNTOS DOBLES DE RED</t>
    </r>
    <r>
      <rPr>
        <sz val="10"/>
        <color rgb="FFFF0000"/>
        <rFont val="Arial Narrow"/>
        <family val="2"/>
      </rPr>
      <t xml:space="preserve">
</t>
    </r>
    <r>
      <rPr>
        <sz val="10"/>
        <rFont val="Arial Narrow"/>
        <family val="2"/>
      </rPr>
      <t xml:space="preserve">
CONTRATO No. 3
APORTA CERTIFICACIÓN Y ACTA DE LIQUIDAIÓN SUSCRITA POR ENTIDAD PUBLICA DONDE ACREDITA ADQUISICIÓN, SUMINISTRO, INSTALACIÓN, Y PUESTA EN FUNCIONAMIENTO DE CABLEADO ESTRUCTURADO EN EDIFICACIÓN NO RESIDENCIAL.
EN LA DOCUMENTACIÓN APORTADA SE EVIDENCIA LA EJECUCIÓN DE FIBRA OPTICA Y 307 PUNTOS DOBLES DE RED</t>
    </r>
  </si>
  <si>
    <t>CONTRATO No. 1
APORTA CERTIFICACIÓN, ACTA DE LIQUIDAIÓN Y ACTA DE RECIBO FINAL SUSCRITA POR ENTIDAD PUBLICA DONDE ACREDITA ADECUACIÓN DE INFRAESTRUCTURA ELECTRICA Y  CABLEADO ESTRUCTURADO DE EDIFICACION NO RESIDENCIAL
EN LA DOCUMENTACIÓN APORTADA SE EVIDENCIA LA EJECUCIÓN DE 455 PUNTOS SENCILLOS DE DATOS
CONTRATO No. 2
APORTA CERTIFICACIÓN Y ACTA DE RECIBO FINAL SUSCRITA POR ENTIDAD PUBLICA DONDE ACREDITA REMODELACIÓN, ADECUACIÓN E INSTALACIÓN DE INFRAESTRUCTURA ELECTRICA Y  CABLEADO ESTRUCTURADO DE EDIFICACION NO RESIDENCIAL
EN LA DOCUMENTACIÓN APORTADA SE EVIDENCIA LA EJECUCIÓN DE FIBRA OPTICA Y 238 PUNTOS DE VOZ/DATOS</t>
  </si>
  <si>
    <r>
      <t xml:space="preserve">CODIGOS UNSPSC:
</t>
    </r>
    <r>
      <rPr>
        <b/>
        <sz val="10"/>
        <color rgb="FFFF0000"/>
        <rFont val="Calibri"/>
        <family val="2"/>
        <scheme val="minor"/>
      </rPr>
      <t>721015 - 721515 - 721516</t>
    </r>
  </si>
  <si>
    <r>
      <t>CODIGOS UNSPSC:</t>
    </r>
    <r>
      <rPr>
        <b/>
        <sz val="10"/>
        <color rgb="FFFF0000"/>
        <rFont val="Calibri"/>
        <family val="2"/>
        <scheme val="minor"/>
      </rPr>
      <t/>
    </r>
  </si>
  <si>
    <t>APORTA ANEXO G EXPERIENCIA ESPECIFICA EN PDF DEBIDAMENTE SUSCRITO Y EN FORMATO EXCEL</t>
  </si>
  <si>
    <r>
      <t xml:space="preserve">CONTRATO No. 1
</t>
    </r>
    <r>
      <rPr>
        <b/>
        <sz val="10"/>
        <rFont val="Arial Narrow"/>
        <family val="2"/>
      </rPr>
      <t>391217 - 721015 - 721515 - 721516</t>
    </r>
    <r>
      <rPr>
        <sz val="10"/>
        <rFont val="Arial Narrow"/>
        <family val="2"/>
      </rPr>
      <t xml:space="preserve">
CONTRATO No. 2
</t>
    </r>
    <r>
      <rPr>
        <b/>
        <sz val="10"/>
        <rFont val="Arial Narrow"/>
        <family val="2"/>
      </rPr>
      <t>721015 - 721515 - 721516</t>
    </r>
  </si>
  <si>
    <t>APORTA TARJETA PROFESIONAL
VIGENCIA M.P. COPNIA EXP. 28-OCT-2020
CARTA DE INTENCIÓN
DISPONIBILIDAD 100%</t>
  </si>
  <si>
    <t>INGENIERO ELECTRICISTA
FECHA EXP. M.P. 2003</t>
  </si>
  <si>
    <r>
      <t xml:space="preserve">Las certificaciones de la experiencia específica como </t>
    </r>
    <r>
      <rPr>
        <b/>
        <sz val="10"/>
        <rFont val="Arial Narrow"/>
        <family val="2"/>
      </rPr>
      <t>contratista de obra</t>
    </r>
    <r>
      <rPr>
        <sz val="10"/>
        <rFont val="Arial Narrow"/>
        <family val="2"/>
      </rPr>
      <t>, será soportada con uno de los dos requerimientos que se relacionan a continuación:
a) Certificación suscrita por el representante legal o quien tenga por decreto o documento similar la asignación de sus funciones en la entidad pública o privada contratante (exceptuando de estas últimas, las personas naturales, consorcios y uniones temporales); y que contenga como mínimo la siguiente información: Nº del contrato, entidad contratante, objeto, fecha de inicio, fecha de finalización y valor total ejecutado.
b) Acta de recibo final de obra y/o acta de liquidación del contrato.</t>
    </r>
  </si>
  <si>
    <t>EL PROPONENTE APORTA CERTIFCACIONES DE CONFORMIDAD DE MATERIALES DE CABLEADO ESTRUCTURADO MARCA COMMSCOPE  CON GARANTIA EXTENDIDA DE 25 AÑOS SOBRE LOS PRODUCTOS EN SOLUCIONES COMPLETAS (MONOMARCA).
EL PROPONENTE APORTA CERTIFICADO DE CONFORMIDAD RETIE DE BANDEJAS PORTACABLES MARCA MECANO.</t>
  </si>
  <si>
    <t>JAIME MARTINEZ</t>
  </si>
  <si>
    <t>PRESENTA DOCUMENTO DE PROTOCOLO DE BIOSEGURIDAD Y PAPSO ACORDE CON LA NORMATIVIDAD VIGENTE Y ARMONIZADO A LAS ACTIVIDADES DE LA EMPRESA.</t>
  </si>
  <si>
    <r>
      <t xml:space="preserve">EL PROPONENTE APORTA CERTIFICADOS DE CONFORMIDAD DEL AÑO 2012 DE LOS SIGUIENTES MATERIALES MARCA FURUKAWA: PATCH CORD, JACK, FACE PLATE, PATCH PANEL. </t>
    </r>
    <r>
      <rPr>
        <sz val="10"/>
        <color rgb="FFFF0000"/>
        <rFont val="Arial Narrow"/>
        <family val="2"/>
      </rPr>
      <t>SE REQUIERE ACLARAR SI LA MARCA FURUKAWA ES DE IGUALES O MEJORES ESPECIFICACIONES TECNICAS QUE EL SISTEMA DE CABLEADO SOLICITADO.</t>
    </r>
    <r>
      <rPr>
        <sz val="10"/>
        <rFont val="Arial Narrow"/>
        <family val="2"/>
      </rPr>
      <t xml:space="preserve">
</t>
    </r>
    <r>
      <rPr>
        <sz val="10"/>
        <color rgb="FFFF0000"/>
        <rFont val="Arial Narrow"/>
        <family val="2"/>
      </rPr>
      <t>NO APORTA CERTICADO DE CONFORMIDAD DEL CABLE UTP CAT 6A, PERO APORTA DOCUMENTO DE CABLE DE COMUNICACIÓN MARCA AMP., EN ESTE CASO LOS ELEMENTOS DE CABLEADO ESTRUCTURADO OFRECIDO NO SON MONOMARCA. SE SOLICITA ACLARAR EL TIPO DE CABLE OFRECIDO O APORTAR CERTIFICADO DE CONFORMIDAD CORRRESPONDIENTE Y FICHA TECNICA.</t>
    </r>
    <r>
      <rPr>
        <sz val="10"/>
        <rFont val="Arial Narrow"/>
        <family val="2"/>
      </rPr>
      <t xml:space="preserve">
</t>
    </r>
    <r>
      <rPr>
        <sz val="10"/>
        <color rgb="FFFF0000"/>
        <rFont val="Arial Narrow"/>
        <family val="2"/>
      </rPr>
      <t>NO APORTA CERTIFICADO DE CONFORMIDAD DE LA FIBRA OPTICA EXPEDIDO POR LABORATORIO ESPECIALIZADO Y RECONOCIDO QUE PRUEBE Y ACREDITE EL CUMPLIMIENTO DE LOS ESTANDARES INTERNACIONALES.</t>
    </r>
    <r>
      <rPr>
        <sz val="10"/>
        <rFont val="Arial Narrow"/>
        <family val="2"/>
      </rPr>
      <t xml:space="preserve">
</t>
    </r>
    <r>
      <rPr>
        <sz val="10"/>
        <color rgb="FFFF0000"/>
        <rFont val="Arial Narrow"/>
        <family val="2"/>
      </rPr>
      <t>EL PROPONENTE APORTA CERTIFICADO DE CONFORMIDAD DE BANDEJA PORTACABLES MARCA PEMSA QUE SE ENCUENTRA VENCIDO. SE REQUIERE ACLARAR SI LA MARCA PEMSA ES DE IGUALES O MEJORES ESPECIFICACIONES TECNICAS QUE LA BANDEJA SOLICITADO.</t>
    </r>
    <r>
      <rPr>
        <sz val="10"/>
        <rFont val="Arial Narrow"/>
        <family val="2"/>
      </rPr>
      <t xml:space="preserve">
EL PROPONENTE APORTA CERTIFICADO DE CONFORMIDAD DE BANDEJA PORTACABLES MARCA GALCO. </t>
    </r>
    <r>
      <rPr>
        <sz val="10"/>
        <color rgb="FFFF0000"/>
        <rFont val="Arial Narrow"/>
        <family val="2"/>
      </rPr>
      <t xml:space="preserve">SE REQUIERE ACLARAR SI LA MARCA GALCO ES DE IGUALES O MEJORES ESPECIFICACIONES TECNICAS QUE LA BANDEJA SOLICITADO. </t>
    </r>
  </si>
  <si>
    <t>ING. ELECTRICISTA
FECHA EXP. M.P. 1996</t>
  </si>
  <si>
    <t>APORTA TARJETA PROFESIONAL ELECTRICISTA
VIGENCIA M.P. EXP. 28-OCT-2020
CARTA DE INTENCIÓN
DISPONIBILIDAD 100%</t>
  </si>
  <si>
    <t>EN LA DOCUMENTACIÓN APORTADA EN LAS 2 CERTIFICACIONES, NO ES CLARO EN PLAZO DE EJECUCIÓN DE CADA UNO DE LOS CONTRATOS</t>
  </si>
  <si>
    <t>EN LA DOCUMENTACIÓN APORTADA EN LAS 3 CERTIFICACIONES, NO ES CLARO EN PLAZO DE EJECUCIÓN DE CADA UNO DE LOS CONTRATOS</t>
  </si>
  <si>
    <r>
      <rPr>
        <b/>
        <sz val="10"/>
        <rFont val="Arial Narrow"/>
        <family val="2"/>
      </rPr>
      <t>TECNICO No. 01</t>
    </r>
    <r>
      <rPr>
        <sz val="10"/>
        <rFont val="Arial Narrow"/>
        <family val="2"/>
      </rPr>
      <t xml:space="preserve">
TECNICO ELECTRICISTA CONTEC TE-1, TE-5, TE-6
FECHA EXP. M.P. 10-ABR-2015
APORTA CERTIFICADO ENTRENAMIENTO DE TRABAJO SEGURO EN ALTURAS
FECHA EXP. 11-JUN-2019
</t>
    </r>
    <r>
      <rPr>
        <sz val="10"/>
        <color rgb="FFFF0000"/>
        <rFont val="Arial Narrow"/>
        <family val="2"/>
      </rPr>
      <t>EN ATENCIÓN AL ARTICULO 2 DE LA RESOLUCIÓN No. 1248 DEL 03 DE JULIO DE 2020, LA CERTIFICACIÓN DE ENTRENAMIENTO DE TRABAJO SEGURO EN ALTURAS APORTADA NO ESTA VIGENTE.</t>
    </r>
    <r>
      <rPr>
        <sz val="10"/>
        <rFont val="Arial Narrow"/>
        <family val="2"/>
      </rPr>
      <t xml:space="preserve">
</t>
    </r>
    <r>
      <rPr>
        <b/>
        <sz val="10"/>
        <rFont val="Arial Narrow"/>
        <family val="2"/>
      </rPr>
      <t xml:space="preserve">
TECNICO No. 02</t>
    </r>
    <r>
      <rPr>
        <sz val="10"/>
        <rFont val="Arial Narrow"/>
        <family val="2"/>
      </rPr>
      <t xml:space="preserve">
TECNICO ELECTRICISTA CONTEC TE-1, TE-5, TE-6
FECHA EXP. M.P. 10-ABR-2015
APORTA CERTIFICADO ENTRENAMIENTO DE TRABAJO SEGURO EN ALTURAS
FECHA EXP. 11-JUN-2019
</t>
    </r>
    <r>
      <rPr>
        <sz val="10"/>
        <color rgb="FFFF0000"/>
        <rFont val="Arial Narrow"/>
        <family val="2"/>
      </rPr>
      <t>EN ATENCIÓN AL ARTICULO 2 DE LA RESOLUCIÓN No. 1248 DEL 03 DE JULIO DE 2020, LA CERTIFICACIÓN DE ENTRENAMIENTO DE TRABAJO SEGURO EN ALTURAS APORTADA NO ESTA VIGENTE.</t>
    </r>
  </si>
  <si>
    <r>
      <rPr>
        <b/>
        <sz val="10"/>
        <rFont val="Arial Narrow"/>
        <family val="2"/>
      </rPr>
      <t>TECNICO No. 01</t>
    </r>
    <r>
      <rPr>
        <sz val="10"/>
        <rFont val="Arial Narrow"/>
        <family val="2"/>
      </rPr>
      <t xml:space="preserve">
APORTA TARJETA PROFESIONAL
VIGENCIA M.P. EXP. 04-SEP-2020
CARTA DE INTENCIÓN DISPONIBILIDAD 100%
</t>
    </r>
    <r>
      <rPr>
        <b/>
        <sz val="10"/>
        <rFont val="Arial Narrow"/>
        <family val="2"/>
      </rPr>
      <t>TECNICO No. 02</t>
    </r>
    <r>
      <rPr>
        <sz val="10"/>
        <rFont val="Arial Narrow"/>
        <family val="2"/>
      </rPr>
      <t xml:space="preserve">
APORTA TARJETA PROFESIONAL
VIGENCIA M.P. EXP. 24-SEP-2020
CARTA DE INTENCIÓN DISPONIBILIDAD 100%</t>
    </r>
  </si>
  <si>
    <r>
      <rPr>
        <b/>
        <sz val="10"/>
        <rFont val="Arial Narrow"/>
        <family val="2"/>
      </rPr>
      <t>TECNICO No. 01</t>
    </r>
    <r>
      <rPr>
        <sz val="10"/>
        <rFont val="Arial Narrow"/>
        <family val="2"/>
      </rPr>
      <t xml:space="preserve">
APORTA TARJETA PROFESIONAL
VIGENCIA M.P. EXP. 28-OCT-2020
CARTA DE INTENCIÓN DISPONIBILIDAD 100%
</t>
    </r>
    <r>
      <rPr>
        <b/>
        <sz val="10"/>
        <rFont val="Arial Narrow"/>
        <family val="2"/>
      </rPr>
      <t>TECNICO No. 02</t>
    </r>
    <r>
      <rPr>
        <sz val="10"/>
        <rFont val="Arial Narrow"/>
        <family val="2"/>
      </rPr>
      <t xml:space="preserve">
APORTA TARJETA PROFESIONAL
VIGENCIA M.P. EXP. 28-OCT-2020
CARTA DE INTENCIÓN DISPONIBILIDAD 100%</t>
    </r>
  </si>
  <si>
    <r>
      <rPr>
        <b/>
        <sz val="10"/>
        <rFont val="Arial Narrow"/>
        <family val="2"/>
      </rPr>
      <t>TECNICO No. 01</t>
    </r>
    <r>
      <rPr>
        <sz val="10"/>
        <rFont val="Arial Narrow"/>
        <family val="2"/>
      </rPr>
      <t xml:space="preserve">
CERTIFICACIÓN No. 1: </t>
    </r>
    <r>
      <rPr>
        <sz val="10"/>
        <color rgb="FFFF0000"/>
        <rFont val="Arial Narrow"/>
        <family val="2"/>
      </rPr>
      <t>64 DIAS</t>
    </r>
    <r>
      <rPr>
        <sz val="10"/>
        <rFont val="Arial Narrow"/>
        <family val="2"/>
      </rPr>
      <t xml:space="preserve">
CERTIFICACIÓN No. 2: 8 MESES Y 17 DIAS
CERTIFICACIÓN No. 3: 9 MESES Y 2 DIAS
</t>
    </r>
    <r>
      <rPr>
        <b/>
        <sz val="10"/>
        <rFont val="Arial Narrow"/>
        <family val="2"/>
      </rPr>
      <t>TECNICO No. 02</t>
    </r>
    <r>
      <rPr>
        <sz val="10"/>
        <rFont val="Arial Narrow"/>
        <family val="2"/>
      </rPr>
      <t xml:space="preserve">
CERTIFICACIÓN No. 1: 9 MESES
CERTIFICACIÓN No. 2: </t>
    </r>
    <r>
      <rPr>
        <sz val="10"/>
        <color rgb="FFFF0000"/>
        <rFont val="Arial Narrow"/>
        <family val="2"/>
      </rPr>
      <t>NO SE ESPECIFICA TIEMPO LABORADO</t>
    </r>
    <r>
      <rPr>
        <sz val="10"/>
        <rFont val="Arial Narrow"/>
        <family val="2"/>
      </rPr>
      <t xml:space="preserve">
CERTIFICACIÓN No. 3: </t>
    </r>
    <r>
      <rPr>
        <sz val="10"/>
        <color rgb="FFFF0000"/>
        <rFont val="Arial Narrow"/>
        <family val="2"/>
      </rPr>
      <t xml:space="preserve">2 MESES Y 16 DIAS
</t>
    </r>
    <r>
      <rPr>
        <sz val="10"/>
        <rFont val="Arial Narrow"/>
        <family val="2"/>
      </rPr>
      <t xml:space="preserve">CERTIFICACIÓN No. 4: 43 MESES Y 8 DIAS
CERTIFICACIÓN No. 5: 5 AÑOS Y 9 MESES
</t>
    </r>
    <r>
      <rPr>
        <sz val="10"/>
        <color rgb="FFFF0000"/>
        <rFont val="Arial Narrow"/>
        <family val="2"/>
      </rPr>
      <t>LOS TIEMPOS LABORADOS DE LAS DOS ULTIMAS CERTIFICACIONES SON INCONSISTENTES</t>
    </r>
  </si>
  <si>
    <t>PROFESIONAL ESPECIALISTA EN GERENCIA EN SEGURIDAD Y SALUD EN EL TRABAJO
APORTA RESOLUCION DE LICENCIA
FECHA EXP. RES. 13-JUN-2018
APORTA CERTIFICADO ENTRENAMIENTO DE TRABAJO SEGURO EN ALTURAS
FECHA EXP. 30-NOV-2019</t>
  </si>
  <si>
    <t>CERTIFICACIÓN No. 1
5 MESES
CERTIFICACIÓN No. 2
26 MESES
CERTIFICACIÓN No. 3
30 MESES</t>
  </si>
  <si>
    <r>
      <t xml:space="preserve">Las certificaciones de la experiencia específica </t>
    </r>
    <r>
      <rPr>
        <b/>
        <u/>
        <sz val="10"/>
        <rFont val="Arial Narrow"/>
        <family val="2"/>
      </rPr>
      <t>como contratista de obra</t>
    </r>
    <r>
      <rPr>
        <sz val="10"/>
        <rFont val="Arial Narrow"/>
        <family val="2"/>
      </rPr>
      <t xml:space="preserve">,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Se debe anexar el acta de recibo final de obra y/o acta de liquidación del contrato. </t>
    </r>
  </si>
  <si>
    <r>
      <rPr>
        <b/>
        <sz val="9"/>
        <rFont val="Arial Narrow"/>
        <family val="2"/>
      </rPr>
      <t>DIRECTOR DE OBRA</t>
    </r>
    <r>
      <rPr>
        <sz val="9"/>
        <rFont val="Arial Narrow"/>
        <family val="2"/>
      </rPr>
      <t xml:space="preserve">
CONTRATO No. 1 ADICIONAL
9 MESES
</t>
    </r>
    <r>
      <rPr>
        <b/>
        <sz val="9"/>
        <rFont val="Arial Narrow"/>
        <family val="2"/>
      </rPr>
      <t>RESIDENTE DE OBRA</t>
    </r>
    <r>
      <rPr>
        <sz val="9"/>
        <rFont val="Arial Narrow"/>
        <family val="2"/>
      </rPr>
      <t xml:space="preserve">
CONTRATO No. 1 ADICIONAL
9 MESES</t>
    </r>
  </si>
  <si>
    <t>APORTA CARTA DE COMPROMISO DEBIDAMENTE SUSCRITA EN LA QUE SE COMPROMTE A EJECUTAR LA OBRA CON SEIS (6) CUADRILLAS SIMULTANEAS
CADA CUADRILLA ESTARÁ COMPUESTA POR UN (1) OFICIAL Y TRES (3) AYUDANTES</t>
  </si>
  <si>
    <r>
      <t xml:space="preserve">APORTA CARTA DE COMPROMISO DEBIDAMENTE SUSCRITA EN LA QUE SE COMPROMTE A EJECUTAR LA OBRA CON SEIS (6) CUADRILLAS SIMULTANEAS
</t>
    </r>
    <r>
      <rPr>
        <sz val="9"/>
        <color rgb="FFFF0000"/>
        <rFont val="Arial Narrow"/>
        <family val="2"/>
      </rPr>
      <t>CADA CUADRILLA ESTARÁ COMPUESTA POR UN (1) OFICIAL Y UN (1) AYUDANTE</t>
    </r>
  </si>
  <si>
    <t>INGENIERO ELECTRICISTA
FECHA EXP. M.P. 2010</t>
  </si>
  <si>
    <r>
      <t xml:space="preserve">CERTIFICACIÓN No. 1
39 MESES
CERTIFICACIÓN No. 2
6 MESES
CERTIFICACIÓN No. 3
</t>
    </r>
    <r>
      <rPr>
        <sz val="10"/>
        <color rgb="FFFF0000"/>
        <rFont val="Arial Narrow"/>
        <family val="2"/>
      </rPr>
      <t>2 MESES</t>
    </r>
  </si>
  <si>
    <r>
      <t xml:space="preserve">APORTA TARJETA PROFESIONAL
VIGENCIA M.P.  EXP. 29-OCT-2020
</t>
    </r>
    <r>
      <rPr>
        <sz val="10"/>
        <color rgb="FFFF0000"/>
        <rFont val="Arial Narrow"/>
        <family val="2"/>
      </rPr>
      <t>MAGISTER EN INGENIERIA ELÉCTRICA EXP. 15-MAR-2013</t>
    </r>
    <r>
      <rPr>
        <sz val="10"/>
        <rFont val="Arial Narrow"/>
        <family val="2"/>
      </rPr>
      <t xml:space="preserve">
CARTA DE INTENCIÓN DISPONIBILIDAD 20%</t>
    </r>
  </si>
  <si>
    <t>OBJETO: OBRA PARA ADECUACIONES FÍSICAS PARA EL FORTALECIMIENTO DE LA INFRAESTRUCTURA TECNOLÓGICA DE LA UNIVERSIDAD DEL CAUCA.</t>
  </si>
  <si>
    <t>CONVOCATORIA PÚBLICA N° 024 DE 2020</t>
  </si>
  <si>
    <r>
      <t xml:space="preserve">CONTRATO No. 1
APORTA CERTIFICACIÓN COMO DIRECTOR DE OBRA EXPEDIDA POR ENTIDAD PRIVADA (PERSONA JURIDICA) DE REDES DE CABLEADO ESTRUCTURADO.
</t>
    </r>
    <r>
      <rPr>
        <sz val="10"/>
        <color rgb="FFFF0000"/>
        <rFont val="Arial Narrow"/>
        <family val="2"/>
      </rPr>
      <t>APORTA CERTIFICACIÓN DEL CONTRATO DE OBRA EJECUTADO EXPEDIDA POR ENTIDAD PUBLICA. DOCUMENTO NO VALIDADO, NO ADJUNTA ACTA DE RECIBO FINAL Y/O ACTA DE LIQUIDACIÓN.
NO APORTA CONTRATO LABORAL O DE PRESTACIONES DE SERVICIOS ENTRE LA FIRMA PRIVADA Y EL PROFESIONAL PROPUESTO.</t>
    </r>
    <r>
      <rPr>
        <sz val="10"/>
        <rFont val="Arial Narrow"/>
        <family val="2"/>
      </rPr>
      <t xml:space="preserve">
CONTRATO No. 2
APORTA CERTIFICACIÓN COMO DIRECTOR DE OBRA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3
APORTA CERTIFICACIÓN COMO DIRECTOR DE OBRA EXPEDIDA POR ENTIDAD PRIVADA (PERSONA JURIDICA) DE REDES DE CABLEADO ESTRUCTURADO.
APORTA ACTA DE LIQUIDACIÓN DEL CONTRATO DE OBRA EJECUTADO EXPEDIDA POR ENTIDAD PUBLICA.
</t>
    </r>
    <r>
      <rPr>
        <sz val="10"/>
        <color rgb="FFFF0000"/>
        <rFont val="Arial Narrow"/>
        <family val="2"/>
      </rPr>
      <t xml:space="preserve">NO APORTA CONTRATO LABORAL O DE PRESTACIONES DE SERVICIOS ENTRE LA FIRMA PRIVADA Y EL PROFESIONAL PROPUESTO.
</t>
    </r>
    <r>
      <rPr>
        <sz val="10"/>
        <rFont val="Arial Narrow"/>
        <family val="2"/>
      </rPr>
      <t xml:space="preserve">CONTRATO No. 4
APORTA CERTIFICACIÓN COMO DIRECTOR DE OBRA EXPEDIDA POR ENTIDAD PRIVADA (PERSONA JURIDICA) DE REDES DE CABLEADO ESTRUCTURADO.
</t>
    </r>
    <r>
      <rPr>
        <sz val="10"/>
        <color rgb="FFFF0000"/>
        <rFont val="Arial Narrow"/>
        <family val="2"/>
      </rPr>
      <t>APORTA INFORME DE SUPERVISIÓN DEL CONTRATO DE OBRA EJECUTADO EXPEDIDA POR ENTIDAD PUBLICA. DOCUMENTO NO VALIDO PARA ACREDITAR EXPERIENCIA ESPECIFICA EN ATENCIÓN AL REQUERIMIENTO DEL PLIEGO DE CONDICIONES.
NO APORTA CONTRATO LABORAL O DE PRESTACIONES DE SERVICIOS ENTRE LA FIRMA PRIVADA Y EL PROFESIONAL PROPUESTO.</t>
    </r>
  </si>
  <si>
    <r>
      <t xml:space="preserve">CONTRATO No. 1
APORTA CERTIFICACIÓN COMO RESIDENTE DE OBRA EXPEDIDA POR ENTIDAD PRIVADA (PERSONA JURIDICA) DE REDES DE CABLEADO ESTRUCTURADO.
</t>
    </r>
    <r>
      <rPr>
        <sz val="10"/>
        <color rgb="FFFF0000"/>
        <rFont val="Arial Narrow"/>
        <family val="2"/>
      </rPr>
      <t>APORTA CERTIFICACIÓN DEL CONTRATO DE OBRA EJECUTADO EXPEDIDA POR ENTIDAD PUBLICA. DOCUMENTO NO VALIDADO, NO ADJUNTA ACTA DE RECIBO FINAL Y/O ACTA DE LIQUIDACIÓN.
NO APORTA CONTRATO LABORAL O DE PRESTACIONES DE SERVICIOS ENTRE LA FIRMA PRIVADA Y EL PROFESIONAL PROPUESTO.</t>
    </r>
    <r>
      <rPr>
        <sz val="10"/>
        <rFont val="Arial Narrow"/>
        <family val="2"/>
      </rPr>
      <t xml:space="preserve">
CONTRATO No. 2
APORTA CERTIFICACIÓN COMO RESIDENTE DE OBRA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3
APORTA CERTIFICACIÓN COMO RESIDENTE DE OBRA EXPEDIDA POR ENTIDAD PRIVADA (PERSONA JURIDICA) DE REDES DE CABLEADO ESTRUCTURADO.
APORTA ACTA DE LIQUIDACIÓN DEL CONTRATO DE OBRA EJECUTADO EXPEDIDA POR ENTIDAD PUBLICA.
</t>
    </r>
    <r>
      <rPr>
        <sz val="10"/>
        <color rgb="FFFF0000"/>
        <rFont val="Arial Narrow"/>
        <family val="2"/>
      </rPr>
      <t xml:space="preserve">NO APORTA CONTRATO LABORAL O DE PRESTACIONES DE SERVICIOS ENTRE LA FIRMA PRIVADA Y EL PROFESIONAL PROPUESTO.
</t>
    </r>
    <r>
      <rPr>
        <sz val="10"/>
        <rFont val="Arial Narrow"/>
        <family val="2"/>
      </rPr>
      <t>CONTRATO No. 4
APORTA CERTIFICACIÓN COMO DIRECTOR DE OBRA EXPEDIDA POR ENTIDAD PRIVADA (PERSONA JURIDICA) DE REDES DE CABLEADO ESTRUCTURADO.</t>
    </r>
    <r>
      <rPr>
        <sz val="10"/>
        <color rgb="FFFF0000"/>
        <rFont val="Arial Narrow"/>
        <family val="2"/>
      </rPr>
      <t xml:space="preserve">
APORTA INFORME DE SUPERVISIÓN DEL CONTRATO DE OBRA EJECUTADO EXPEDIDA POR ENTIDAD PUBLICA. DOCUMENTO NO VALIDO PARA ACREDITAR EXPERIENCIA ESPECIFICA EN ATENCIÓN AL REQUERIMIENTO DEL PLIEGO DE CONDICIONES.
NO APORTA CONTRATO LABORAL O DE PRESTACIONES DE SERVICIOS ENTRE LA FIRMA PRIVADA Y EL PROFESIONAL PROPUESTO.</t>
    </r>
  </si>
  <si>
    <r>
      <rPr>
        <b/>
        <sz val="10"/>
        <rFont val="Arial Narrow"/>
        <family val="2"/>
      </rPr>
      <t>TECNICO No. 01</t>
    </r>
    <r>
      <rPr>
        <sz val="10"/>
        <rFont val="Arial Narrow"/>
        <family val="2"/>
      </rPr>
      <t xml:space="preserve">
CONTRATO No. 1
APORTA CERTIFICACIÓN COMO TECNICO ELECTRICISTA EXPEDIDA POR ENTIDAD PRIVADA (PERSONA JURIDICA) DE REDES DE CABLEADO ESTRUCTURADO.
</t>
    </r>
    <r>
      <rPr>
        <sz val="10"/>
        <color rgb="FFFF0000"/>
        <rFont val="Arial Narrow"/>
        <family val="2"/>
      </rPr>
      <t>APORTA CERTIFICACIÓN DEL CONTRATO DE OBRA EJECUTADO EXPEDIDA POR ENTIDAD PUBLICA. DOCUMENTO NO VALIDADO, NO ADJUNTA ACTA DE RECIBO FINAL Y/O ACTA DE LIQUIDACIÓN.
NO APORTA CONTRATO LABORAL O DE PRESTACIONES DE SERVICIOS ENTRE LA FIRMA PRIVADA Y EL PROFESIONAL PROPUESTO.</t>
    </r>
    <r>
      <rPr>
        <sz val="10"/>
        <rFont val="Arial Narrow"/>
        <family val="2"/>
      </rPr>
      <t xml:space="preserve">
CONTRATO No. 2
APORTA CERTIFICACIÓN COMO TECNICO ELECTRICISTA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3
APORTA CERTIFICACIÓN COMO TECNICO ELECTRICISTA EXPEDIDA POR ENTIDAD PRIVADA (PERSONA JURIDICA) DE REDES DE CABLEADO ESTRUCTURADO.
APORTA ACTA DE LIQUIDACIÓN DEL CONTRATO DE OBRA EJECUTADO EXPEDIDA POR ENTIDAD PUBLICA.
</t>
    </r>
    <r>
      <rPr>
        <sz val="10"/>
        <color rgb="FFFF0000"/>
        <rFont val="Arial Narrow"/>
        <family val="2"/>
      </rPr>
      <t xml:space="preserve">NO APORTA CONTRATO LABORAL O DE PRESTACIONES DE SERVICIOS ENTRE LA FIRMA PRIVADA Y EL PROFESIONAL PROPUESTO.
</t>
    </r>
    <r>
      <rPr>
        <sz val="10"/>
        <rFont val="Arial Narrow"/>
        <family val="2"/>
      </rPr>
      <t xml:space="preserve">
CONTRATO No. 4
APORTA CERTIFICACIÓN COMO DIRECTOR DE OBRA EXPEDIDA POR ENTIDAD PRIVADA (PERSONA JURIDICA) DE REDES DE CABLEADO ESTRUCTURADO</t>
    </r>
    <r>
      <rPr>
        <sz val="10"/>
        <color rgb="FFFF0000"/>
        <rFont val="Arial Narrow"/>
        <family val="2"/>
      </rPr>
      <t>.
APORTA INFORME DE SUPERVISIÓN DEL CONTRATO DE OBRA EJECUTADO EXPEDIDA POR ENTIDAD PUBLICA. DOCUMENTO NO VALIDO PARA ACREDITAR EXPERIENCIA ESPECIFICA EN ATENCIÓN AL REQUERIMIENTO DEL PLIEGO DE CONDICIONES.
NO APORTA CONTRATO LABORAL O DE PRESTACIONES DE SERVICIOS ENTRE LA FIRMA PRIVADA Y EL PROFESIONAL PROPUESTO.</t>
    </r>
  </si>
  <si>
    <r>
      <rPr>
        <b/>
        <sz val="10"/>
        <rFont val="Arial Narrow"/>
        <family val="2"/>
      </rPr>
      <t>TECNICO No. 02</t>
    </r>
    <r>
      <rPr>
        <sz val="10"/>
        <rFont val="Arial Narrow"/>
        <family val="2"/>
      </rPr>
      <t xml:space="preserve">
CONTRATO No. 1
APORTA CERTIFICACIÓN COMO TECNICO ELECTRICISTA EXPEDIDA POR ENTIDAD PRIVADA (PERSONA JURIDICA) DE REDES DE CABLEADO ESTRUCTURADO.
</t>
    </r>
    <r>
      <rPr>
        <sz val="10"/>
        <color rgb="FFFF0000"/>
        <rFont val="Arial Narrow"/>
        <family val="2"/>
      </rPr>
      <t>APORTA CERTIFICACIÓN DEL CONTRATO DE OBRA EJECUTADO EXPEDIDA POR ENTIDAD PUBLICA. DOCUMENTO NO VALIDADO, NO ADJUNTA ACTA DE RECIBO FINAL Y/O ACTA DE LIQUIDACIÓN.</t>
    </r>
    <r>
      <rPr>
        <sz val="10"/>
        <rFont val="Arial Narrow"/>
        <family val="2"/>
      </rPr>
      <t xml:space="preserve">
CONTRATO No. 2
APORTA CERTIFICACIÓN COMO TECNICO ELECTRICISTA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3
APORTA CERTIFICACIÓN COMO TECNICO ELECTRICISTA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4
APORTA CERTIFICACIÓN COMO DIRECTOR DE OBRA EXPEDIDA POR ENTIDAD PRIVADA (PERSONA JURIDICA) DE REDES DE CABLEADO ESTRUCTURADO.
</t>
    </r>
    <r>
      <rPr>
        <sz val="10"/>
        <color rgb="FFFF0000"/>
        <rFont val="Arial Narrow"/>
        <family val="2"/>
      </rPr>
      <t>APORTA INFORME DE SUPERVISIÓN DEL CONTRATO DE OBRA EJECUTADO EXPEDIDA POR ENTIDAD PUBLICA. DOCUMENTO NO VALIDO PARA ACREDITAR EXPERIENCIA ESPECIFICA EN ATENCIÓN AL REQUERIMIENTO DEL PLIEGO DE CONDICIONES.
NO APORTA CONTRATO LABORAL O DE PRESTACIONES DE SERVICIOS ENTRE LA FIRMA PRIVADA Y EL PROFESIONAL PROPUESTO.</t>
    </r>
  </si>
  <si>
    <r>
      <t xml:space="preserve">CONTRATO No. 1
APORTA CERTIFICACIÓN COMO PROFESIONAL SISOMA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2
APORTA CERTIFICACIÓN COMO PROFESIONAL SISOMA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3
APORTA CERTIFICACIÓN COMO PROFESIONAL SISOMA EXPEDIDA POR ENTIDAD PRIVADA (PERSONA JURIDICA) DE REDES DE CABLEADO ESTRUCTURADO.
</t>
    </r>
    <r>
      <rPr>
        <sz val="10"/>
        <color rgb="FFFF0000"/>
        <rFont val="Arial Narrow"/>
        <family val="2"/>
      </rPr>
      <t>APORTA INFORME DE SUPERVISIÓN DEL CONTRATO DE OBRA EJECUTADO EXPEDIDA POR ENTIDAD PUBLICA. DOCUMENTO NO VALIDO PARA ACREDITAR EXPERIENCIA ESPECIFICA EN ATENCIÓN AL REQUERIMIENTO DEL PLIEGO DE CONDICIONES</t>
    </r>
    <r>
      <rPr>
        <sz val="10"/>
        <rFont val="Arial Narrow"/>
        <family val="2"/>
      </rPr>
      <t xml:space="preserve">.
</t>
    </r>
    <r>
      <rPr>
        <sz val="10"/>
        <color rgb="FFFF0000"/>
        <rFont val="Arial Narrow"/>
        <family val="2"/>
      </rPr>
      <t>NO APORTA CONTRATO LABORAL O DE PRESTACIONES DE SERVICIOS ENTRE LA FIRMA PRIVADA Y EL PROFESIONAL PROPUESTO.</t>
    </r>
  </si>
  <si>
    <r>
      <t xml:space="preserve">CERTIFICACIÓN No. 1
APORTA CERTIFICACIÓN COMO INGENIERO ELECTRICISTA EXPEDIDA POR ENTIDAD PRIVADA (PERSONA JURIDICA) EN LA QUE ACREDITA LA EJECUCIÓN DE 3 CONTRATOS DE OBRA DE CONSTRUCCIÓN Y ADECUACIÓN DE EDIFICACIONES NO RESIDENCIALES
</t>
    </r>
    <r>
      <rPr>
        <sz val="10"/>
        <color rgb="FFFF0000"/>
        <rFont val="Arial Narrow"/>
        <family val="2"/>
      </rPr>
      <t>EL CARGO ACREDITADO NO CORRESPONDE CON EL CARGO ESPECIFICO DE DIRECTOR DE OBRA QUE SE REQUIERE EN EL PROCESO.</t>
    </r>
    <r>
      <rPr>
        <sz val="10"/>
        <rFont val="Arial Narrow"/>
        <family val="2"/>
      </rPr>
      <t xml:space="preserve">
</t>
    </r>
    <r>
      <rPr>
        <sz val="10"/>
        <color rgb="FFFF0000"/>
        <rFont val="Arial Narrow"/>
        <family val="2"/>
      </rPr>
      <t>EN LA DOCUMENTACIÓN APORTADA NO SE ACREDITA POR LA ENTIDAD CONTRATANTE LA EJECUCIÓN INFRAESTRUCTURA ELECTRICA Y/O CABLEADO ESTRUCTURADO Y/O REDES DE COMUNICACIÓN.</t>
    </r>
    <r>
      <rPr>
        <sz val="10"/>
        <rFont val="Arial Narrow"/>
        <family val="2"/>
      </rPr>
      <t xml:space="preserve">
</t>
    </r>
    <r>
      <rPr>
        <sz val="10"/>
        <color rgb="FFFF0000"/>
        <rFont val="Arial Narrow"/>
        <family val="2"/>
      </rPr>
      <t xml:space="preserve">NO APORTA EL ACTA DE RECIBO FINAL Y/O ACTA DE LIQUIDACIÓN DE CADA UNO DE LOS CONTRATO DE OBRA EJECUTADOS, ENTRE ENTIDAD CONTRANTE Y FIRMA PRIVADA CONTRATISTA.
NO APORTA CONTRATO LABORAL O DE PRESTACIONES DE SERVICIOS ENTRE LA FIRMA PRIVADA Y EL PROFESIONAL PROPUESTO.
</t>
    </r>
    <r>
      <rPr>
        <sz val="10"/>
        <rFont val="Arial Narrow"/>
        <family val="2"/>
      </rPr>
      <t xml:space="preserve">CERTIFICACIÓN No. 2
APORTA CERTIFICACIÓN COMO DIRECTOR DE OBRA EXPEDIDA POR ENTIDAD PRIVADA (PERSONA JURIDICA) EN LA QUE ACREDITA LA CONSTRUCCIÓN DE EDIFICACION NO RESIDENCIAL.
</t>
    </r>
    <r>
      <rPr>
        <sz val="10"/>
        <color rgb="FFFF0000"/>
        <rFont val="Arial Narrow"/>
        <family val="2"/>
      </rPr>
      <t>EN LA DOCUMENTACIÓN APORTADA NO SE ACREDITA POR LA ENTIDAD CONTRATANTE LA EJECUCIÓN INFRAESTRUCTURA ELECTRICA Y/O CABLEADO ESTRUCTURADO Y/O REDES DE COMUNICACIÓN.
NO APORTA EL ACTA DE RECIBO FINAL Y/O ACTA DE LIQUIDACIÓN DE CADA UNO DE LOS CONTRATO DE OBRA EJECUTADOS, ENTRE ENTIDAD CONTRANTE Y FIRMA PRIVADA CONTRATISTA.
NO APORTA CONTRATO LABORAL O DE PRESTACIONES DE SERVICIOS ENTRE LA FIRMA PRIVADA Y EL PROFESIONAL PROPUESTO.</t>
    </r>
  </si>
  <si>
    <t>CERTIFICACIÓN No. 3
APORTA CERTIFICACIÓN Y CONTRATO DE OBRA COMO CONTRATISTA DE OBRA EXPEDIDA POR ENTIDAD PRIVADA (PERSONA JURIDICA) DE CONSTRUCCIÓN DE INFRAESTRUCTRA ELECTRICA DE EDIFICACIÓN NO RESIDENCIAL.</t>
  </si>
  <si>
    <r>
      <t xml:space="preserve">CERTIFICACIÓN No. 1
APORTA CERTIFICACIÓN COMO RESIDENTE DE OBRA EXPEDIDA POR ENTIDAD PRIVADA (PERSONA JURIDICA) EN LA QUE ACREDITA LA EJECUCIÓN DE 4 CONTRATOS DE REMODELACIÓN, ADECUACIÓN Y CONSTRUCCIÓN DE INFRAESTRUCTURA ELECTRICA Y/O CABLEADO ESTRUCTURADO DE EDIFICACIONES NO RESIDENCIALES
</t>
    </r>
    <r>
      <rPr>
        <sz val="10"/>
        <color rgb="FFFF0000"/>
        <rFont val="Arial Narrow"/>
        <family val="2"/>
      </rPr>
      <t>NO APORTA EL ACTA DE RECIBO FINAL Y/O ACTA DE LIQUIDACIÓN DE CADA UNO DE LOS CONTRATO DE OBRA EJECUTADOS, ENTRE ENTIDAD CONTRATANTE Y FIRMA PRIVADA CONTRATISTA.
NO APORTA CONTRATO LABORAL O DE PRESTACIONES DE SERVICIOS ENTRE LA FIRMA PRIVADA Y EL PROFESIONAL PROPUESTO.</t>
    </r>
    <r>
      <rPr>
        <sz val="10"/>
        <rFont val="Arial Narrow"/>
        <family val="2"/>
      </rPr>
      <t xml:space="preserve">
CERTIFICACIÓN No. 2
APORTA CERTIFICACIÓN COMO RESIDENTE DE OBRA EXPEDIDA POR ENTIDAD PRIVADA (PERSONA JURIDICA) EN LA QUE ACREDITA LA EJECUCIÓN DE UN CONTRATO DE CONSTRUCCIÓN Y REMODELACIÓN DE INFRAESTRUCTURA ELECTRICA Y/O CABLEADO ESTRUCTURADO DE EDIFICACION NO RESIDENCIAL
</t>
    </r>
    <r>
      <rPr>
        <sz val="10"/>
        <color rgb="FFFF0000"/>
        <rFont val="Arial Narrow"/>
        <family val="2"/>
      </rPr>
      <t>NO APORTA EL ACTA DE RECIBO FINAL Y/O ACTA DE LIQUIDACIÓN DEL CONTRATO DE OBRA EJECUTADO SUSCRITO ENTRE ENTIDAD CONTRANTE Y FIRMA PRIVADA CONTRATISTA.
NO APORTA CONTRATO LABORAL O DE PRESTACIONES DE SERVICIOS ENTRE LA FIRMA PRIVADA Y EL PROFESIONAL PROPUESTO.</t>
    </r>
    <r>
      <rPr>
        <sz val="10"/>
        <rFont val="Arial Narrow"/>
        <family val="2"/>
      </rPr>
      <t xml:space="preserve">
CERTIFICACIÓN No. 3
APORTA CERTIFICACIÓN COMO INGENIERO ELECTRICISTA EXPEDIDA POR ENTIDAD PRIVADA (PERSONA JURIDICA) EN LA QUE ACREDITA LA EJECUCIÓN DE UN CONTRATO DE CONSTRUCCIÓN Y REMODELACIÓN DE INFRAESTRUCTURA ELECTRICA Y/O CABLEADO ESTRUCTURADO DE EDIFICACION NO RESIDENCIAL
</t>
    </r>
    <r>
      <rPr>
        <sz val="10"/>
        <color rgb="FFFF0000"/>
        <rFont val="Arial Narrow"/>
        <family val="2"/>
      </rPr>
      <t>EL CARGO ACREDITADO NO CORRESPONDE CON EL CARGO ESPECIFICO DE DIRECTOR DE OBRA O RESIDENTE DE OBRA QUE SE REQUIERE EN EL PROCESO.
NO APORTA EL ACTA DE RECIBO FINAL Y/O ACTA DE LIQUIDACIÓN DEL CONTRATO DE OBRA EJECUTADO SUSCRITO ENTRE ENTIDAD CONTRANTE Y FIRMA PRIVADA CONTRATISTA.
NO APORTA CONTRATO LABORAL O DE PRESTACIONES DE SERVICIOS ENTRE LA FIRMA PRIVADA Y EL PROFESIONAL PROPUESTO.</t>
    </r>
  </si>
  <si>
    <r>
      <rPr>
        <b/>
        <sz val="10"/>
        <rFont val="Arial Narrow"/>
        <family val="2"/>
      </rPr>
      <t>TECNICO No. 01</t>
    </r>
    <r>
      <rPr>
        <sz val="10"/>
        <rFont val="Arial Narrow"/>
        <family val="2"/>
      </rPr>
      <t xml:space="preserve">
TECNICO ELECTRICISTA CONTEC TE-1,  TE-4, TE-5, TE-6
</t>
    </r>
    <r>
      <rPr>
        <sz val="10"/>
        <color rgb="FFFF0000"/>
        <rFont val="Arial Narrow"/>
        <family val="2"/>
      </rPr>
      <t>FECHA EXP. M.P. 23-MAR-2019</t>
    </r>
    <r>
      <rPr>
        <sz val="10"/>
        <rFont val="Arial Narrow"/>
        <family val="2"/>
      </rPr>
      <t xml:space="preserve">
APORTA CERTIFICADO ENTRENAMIENTO DE TRABAJO SEGURO EN ALTURAS
FECHA EXP. 18-MAR-2020
</t>
    </r>
    <r>
      <rPr>
        <b/>
        <sz val="10"/>
        <rFont val="Arial Narrow"/>
        <family val="2"/>
      </rPr>
      <t>TECNICO No. 02</t>
    </r>
    <r>
      <rPr>
        <sz val="10"/>
        <rFont val="Arial Narrow"/>
        <family val="2"/>
      </rPr>
      <t xml:space="preserve">
TECNICO ELECTRICISTA CONTEC TE-1, TE-2, TE-4, TE-5, TE-6
FECHA EXP. M.P. 29-JUL-2010
APORTA CERTIFICADO ENTRENAMIENTO DE TRABAJO SEGURO EN ALTURAS
FECHA EXP. 26-OCT-2020</t>
    </r>
  </si>
  <si>
    <r>
      <rPr>
        <b/>
        <sz val="10"/>
        <rFont val="Arial Narrow"/>
        <family val="2"/>
      </rPr>
      <t>TECNICO No. 01</t>
    </r>
    <r>
      <rPr>
        <sz val="10"/>
        <rFont val="Arial Narrow"/>
        <family val="2"/>
      </rPr>
      <t xml:space="preserve">
CERTIFICACIÓN No. 1
APORTA CERTIFICACIÓN COMO CONTRATISTA ELECTRICO EXPEDIDA POR ENTIDAD PRIVADA (PERSONA JURIDICA) EN LA QUE ACREDITA LA EJECUCIÓN DE 2 CONTRATOS DE INFRAESTRUCTURA ELECTRICA DE EDIFICACIONES NO RESIDENCIALES
</t>
    </r>
    <r>
      <rPr>
        <sz val="10"/>
        <color rgb="FFFF0000"/>
        <rFont val="Arial Narrow"/>
        <family val="2"/>
      </rPr>
      <t>EL CARGO ACREDITADO NO CORRESPONDE CON EL CARGO ESPECIFICO DE TECNICO ELECTRICO QUE SE REQUIERE EN EL PROCESO.</t>
    </r>
    <r>
      <rPr>
        <sz val="10"/>
        <rFont val="Arial Narrow"/>
        <family val="2"/>
      </rPr>
      <t xml:space="preserve">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r>
      <rPr>
        <sz val="10"/>
        <rFont val="Arial Narrow"/>
        <family val="2"/>
      </rPr>
      <t xml:space="preserve">
CERTIFICACIÓN No. 2
APORTA CERTIFICACIÓN DE PRESTACIÓN DE SERVICIOS EXPEDIDA POR ENTIDAD PRIVADA (PERSONA JURIDICA) EN EJECUCIÓN DE INFRAESTRUCTURA ELECTRICA Y CABLEADO ESTRUCTURADO. </t>
    </r>
    <r>
      <rPr>
        <sz val="10"/>
        <color rgb="FFFF0000"/>
        <rFont val="Arial Narrow"/>
        <family val="2"/>
      </rPr>
      <t>NO SE ESPECIFICA EN QUE PROYECTO LABORÓ.
EL CARGO ACREDITADO NO CORRESPONDE CON EL CARGO ESPECIFICO DE TECNICO ELECTRICO QUE SE REQUIERE EN EL PROCESO.</t>
    </r>
    <r>
      <rPr>
        <sz val="10"/>
        <rFont val="Arial Narrow"/>
        <family val="2"/>
      </rPr>
      <t xml:space="preserve">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r>
      <rPr>
        <sz val="10"/>
        <rFont val="Arial Narrow"/>
        <family val="2"/>
      </rPr>
      <t xml:space="preserve">
CERTIFICACIÓN No. 3
APORTA CERTIFICACIÓN COMO TECNICO ELECTRICISTA EXPEDIDA POR ENTIDAD PRIVADA (PERSONA JURIDICA) DE INFRAESTRUCTURA ELECTRICA DE EDIFICACION NO RESIDENCIAL.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</si>
  <si>
    <r>
      <rPr>
        <b/>
        <sz val="10"/>
        <rFont val="Arial Narrow"/>
        <family val="2"/>
      </rPr>
      <t>TECNICO No. 02</t>
    </r>
    <r>
      <rPr>
        <sz val="10"/>
        <rFont val="Arial Narrow"/>
        <family val="2"/>
      </rPr>
      <t xml:space="preserve">
CERTIFICACIÓN No. 1
APORTA CERTIFICACIÓN COMO TECNICO ELECTRICO EXPEDIDA POR ENTIDAD PRIVADA (PERSONA JURIDICA). </t>
    </r>
    <r>
      <rPr>
        <sz val="10"/>
        <color rgb="FFFF0000"/>
        <rFont val="Arial Narrow"/>
        <family val="2"/>
      </rPr>
      <t>NO SE ESPECIFICA EN QUE PROYECTO LABORÓ PARA VERIFICAR EL TIPO DE CONTRATO EJECUTADO.</t>
    </r>
    <r>
      <rPr>
        <sz val="10"/>
        <rFont val="Arial Narrow"/>
        <family val="2"/>
      </rPr>
      <t xml:space="preserve">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r>
      <rPr>
        <sz val="10"/>
        <rFont val="Arial Narrow"/>
        <family val="2"/>
      </rPr>
      <t xml:space="preserve">
CERTIFICACIÓN No. 2
APORTA CERTIFICACIÓN COMO TECNICO ELECTRICO EXPEDIDA POR ENTIDAD PRIVADA (PERSONA JURIDICA). </t>
    </r>
    <r>
      <rPr>
        <sz val="10"/>
        <color rgb="FFFF0000"/>
        <rFont val="Arial Narrow"/>
        <family val="2"/>
      </rPr>
      <t>NO SE ESPECIFICA EN QUE PROYECTO LABORÓ PARA VERIFICAR EL TIPO DE CONTRATO EJECUTADO.
NO APORTA EL ACTA DE RECIBO FINAL Y/O ACTA DE LIQUIDACIÓN DEL CONTRATO DE OBRA EJECUTADO SUSCRITO ENTRE ENTIDAD CONTRATANTE Y FIRMA PRIVADA CONTRATISTA.
NO APORTA CONTRATO LABORAL O DE PRESTACIONES DE SERVICIOS ENTRE LA FIRMA PRIVADA Y EL PROFESIONAL PROPUESTO.</t>
    </r>
    <r>
      <rPr>
        <sz val="10"/>
        <rFont val="Arial Narrow"/>
        <family val="2"/>
      </rPr>
      <t xml:space="preserve">
CERTIFICACIÓN No. 3
APORTA CERTIFICACIÓN COMO TECNICO ELECTRICISTA EXPEDIDA POR ENTIDAD PRIVADA (PERSONA JURIDICA). </t>
    </r>
    <r>
      <rPr>
        <sz val="10"/>
        <color rgb="FFFF0000"/>
        <rFont val="Arial Narrow"/>
        <family val="2"/>
      </rPr>
      <t xml:space="preserve">NO SE ESPECIFICA EN QUE PROYECTO LABORÓ PARA VERIFICAR EL TIPO DE CONTRATO EJECUTADO.
NO APORTA EL ACTA DE RECIBO FINAL Y/O ACTA DE LIQUIDACIÓN DEL CONTRATO DE OBRA EJECUTADO SUSCRITO ENTRE ENTIDAD CONTRATANTE Y FIRMA PRIVADA CONTRATISTA.
NO APORTA CONTRATO LABORAL O DE PRESTACIONES DE SERVICIOS ENTRE LA FIRMA PRIVADA Y EL PROFESIONAL PROPUESTO.
</t>
    </r>
    <r>
      <rPr>
        <sz val="10"/>
        <rFont val="Arial Narrow"/>
        <family val="2"/>
      </rPr>
      <t xml:space="preserve">
CERTIFICACIÓN No. 4
APORTA CERTIFICACIÓN COMO CONTRATISTA ELECTRICO EXPEDIDA POR ENTIDAD PRIVADA (PERSONA JURIDICA) DE INFRAESTRUCTURA ELECTRICA Y CABLEADO ESTRUCTURADO  DE EDIFICACION NO RESIDENCIAL.
</t>
    </r>
    <r>
      <rPr>
        <sz val="10"/>
        <color rgb="FFFF0000"/>
        <rFont val="Arial Narrow"/>
        <family val="2"/>
      </rPr>
      <t xml:space="preserve">EL CARGO ACREDITADO NO CORRESPONDE CON EL CARGO ESPECIFICO DE TECNICO ELECTRICO QUE SE REQUIERE EN EL PROCESO.
NO APORTA EL ACTA DE RECIBO FINAL Y/O ACTA DE LIQUIDACIÓN DEL CONTRATO DE OBRA EJECUTADO SUSCRITO ENTRE ENTIDAD CONTRATANTE Y FIRMA PRIVADA CONTRATISTA.
NO APORTA CONTRATO LABORAL O DE PRESTACIONES DE SERVICIOS ENTRE LA FIRMA PRIVADA Y EL PROFESIONAL PROPUESTO.
</t>
    </r>
    <r>
      <rPr>
        <sz val="10"/>
        <rFont val="Arial Narrow"/>
        <family val="2"/>
      </rPr>
      <t xml:space="preserve">CERTIFICACIÓN No. 5
APORTA CERTIFICACIÓN COMO TECNICO ELECTRICISTA EXPEDIDA POR ENTIDAD PRIVADA (PERSONA JURIDICA) DE INFRAESTRUCTURA ELECTRICA Y CABLEADO ESTRUCTURADO  DE EDIFICACION NO RESIDENCIAL.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</si>
  <si>
    <r>
      <t xml:space="preserve">CERTIFICACIÓN No. 1
APORTA CERTIFICACIÓN COMO PROFESIONAL SISO EXPEDIDA POR PERSONA NATURAL. </t>
    </r>
    <r>
      <rPr>
        <sz val="10"/>
        <color rgb="FFFF0000"/>
        <rFont val="Arial Narrow"/>
        <family val="2"/>
      </rPr>
      <t>NO SE ESPECIFICA EN QUE PROYECTO LABORÓ PARA VERIFICAR EL TIPO DE CONTRATO EJECUTADO.</t>
    </r>
    <r>
      <rPr>
        <sz val="10"/>
        <rFont val="Arial Narrow"/>
        <family val="2"/>
      </rPr>
      <t xml:space="preserve">
</t>
    </r>
    <r>
      <rPr>
        <sz val="10"/>
        <color rgb="FFFF0000"/>
        <rFont val="Arial Narrow"/>
        <family val="2"/>
      </rPr>
      <t>EL CARGO ACREDITADO NO CORRESPONDE CON EL CARGO ESPECIFICO DE PROFESIONAL SISOMA QUE SE REQUIERE EN EL PROCESO.
NO APORTA EL ACTA DE RECIBO FINAL Y/O ACTA DE LIQUIDACIÓN DEL CONTRATO DE OBRA EJECUTADO SUSCRITO ENTRE ENTIDAD CONTRATANTE Y FIRMA PRIVADA CONTRATISTA.</t>
    </r>
    <r>
      <rPr>
        <sz val="10"/>
        <rFont val="Arial Narrow"/>
        <family val="2"/>
      </rPr>
      <t xml:space="preserve">
</t>
    </r>
    <r>
      <rPr>
        <sz val="10"/>
        <color rgb="FFFF0000"/>
        <rFont val="Arial Narrow"/>
        <family val="2"/>
      </rPr>
      <t>NO APORTA CONTRATO LABORAL O DE PRESTACIONES DE SERVICIOS ENTRE LA PERSONA NATURAL Y EL PROFESIONAL PROPUESTO.</t>
    </r>
    <r>
      <rPr>
        <sz val="10"/>
        <rFont val="Arial Narrow"/>
        <family val="2"/>
      </rPr>
      <t xml:space="preserve">
CERTIFICACIÓN No. 2
APORTA CERTIFICACIÓN COMO RESIDENTE SST-MAS EXPEDIDA POR ENTIDAD PRIVADA (PERSONA JURIDICA). </t>
    </r>
    <r>
      <rPr>
        <sz val="10"/>
        <color rgb="FFFF0000"/>
        <rFont val="Arial Narrow"/>
        <family val="2"/>
      </rPr>
      <t>NO SE ESPECIFICA EN QUE PROYECTO LABORÓ PARA VERIFICAR EL TIPO DE CONTRATO EJECUTADO.
EL CARGO ACREDITADO NO CORRESPONDE CON EL CARGO ESPECIFICO DE PROFESIONAL SISOMA QUE SE REQUIERE EN EL PROCESO.</t>
    </r>
    <r>
      <rPr>
        <sz val="10"/>
        <rFont val="Arial Narrow"/>
        <family val="2"/>
      </rPr>
      <t xml:space="preserve">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r>
      <rPr>
        <sz val="10"/>
        <rFont val="Arial Narrow"/>
        <family val="2"/>
      </rPr>
      <t xml:space="preserve">
CERTIFICACIÓN No. 3
APORTA CERTIFICACIÓN COMO SUPERVISOR EN SALUD OCUPACIONAL Y SEGURIDAD INDUSTRIAL EXPEDIDA POR PERSONA NATURAL. </t>
    </r>
    <r>
      <rPr>
        <sz val="10"/>
        <color rgb="FFFF0000"/>
        <rFont val="Arial Narrow"/>
        <family val="2"/>
      </rPr>
      <t>NO SE ESPECIFICA EN QUE PROYECTO LABORÓ PARA VERIFICAR EL TIPO DE CONTRATO EJECUTADO.</t>
    </r>
    <r>
      <rPr>
        <sz val="10"/>
        <rFont val="Arial Narrow"/>
        <family val="2"/>
      </rPr>
      <t xml:space="preserve">
</t>
    </r>
    <r>
      <rPr>
        <sz val="10"/>
        <color rgb="FFFF0000"/>
        <rFont val="Arial Narrow"/>
        <family val="2"/>
      </rPr>
      <t>EL CARGO ACREDITADO NO CORRESPONDE CON EL CARGO ESPECIFICO DE PROFESIONAL SISOMA QUE SE REQUIERE EN EL PROCESO.
NO APORTA EL ACTA DE RECIBO FINAL Y/O ACTA DE LIQUIDACIÓN DEL CONTRATO DE OBRA EJECUTADO SUSCRITO ENTRE ENTIDAD CONTRATANTE Y FIRMA PRIVADA CONTRATISTA.
NO APORTA CONTRATO LABORAL O DE PRESTACIONES DE SERVICIOS ENTRE LA FIRMA PRIVADA Y EL PROFESIONAL PROPUESTO.</t>
    </r>
  </si>
  <si>
    <r>
      <t xml:space="preserve">CONTRATO No. 1
APORTA CERTIFICACIÓN COMO ASESOR EN REDES DE TELECOMUNICACIONES EXPEDIDA POR ENTIDAD PRIVADA (PERSONA JURIDICA) PARA PROYECTOS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2
APORTA CERTIFICACIÓN COMO ASESOR EN REDES DE TELECOMUNICACIONES EXPEDIDA POR ENTIDAD PRIVADA (PERSONA JURIDICA) PARA PROYECTOS DE REDES DE CABLEADO ESTRUCTURADO.
APORTA ACTA DE LIQUIDACIÓN DEL CONTRATO DE OBRA EJECUTADO EXPEDIDA POR ENTIDAD PUBLICA.
</t>
    </r>
    <r>
      <rPr>
        <sz val="10"/>
        <color rgb="FFFF0000"/>
        <rFont val="Arial Narrow"/>
        <family val="2"/>
      </rPr>
      <t xml:space="preserve">NO APORTA CONTRATO LABORAL O DE PRESTACIONES DE SERVICIOS ENTRE LA FIRMA PRIVADA Y EL PROFESIONAL PROPUESTO.
</t>
    </r>
    <r>
      <rPr>
        <sz val="10"/>
        <rFont val="Arial Narrow"/>
        <family val="2"/>
      </rPr>
      <t xml:space="preserve">CONTRATO No. 3
APORTA CONTRATO COMO CONSULTOR EN REDES DE MEDIA TENSIÓN SUSCRITA CON ENTIDAD PUBLICA.
</t>
    </r>
    <r>
      <rPr>
        <sz val="10"/>
        <color rgb="FFFF0000"/>
        <rFont val="Arial Narrow"/>
        <family val="2"/>
      </rPr>
      <t>DOCUMENTO NO VALIDO PARA ACREDITAR EXPERIENCIA ESPECIFICA EN ATENCIÓN AL REQUERIMIENTO DEL PLIEGO DE CONDICIONES</t>
    </r>
  </si>
  <si>
    <r>
      <rPr>
        <b/>
        <sz val="10"/>
        <rFont val="Arial Narrow"/>
        <family val="2"/>
      </rPr>
      <t>DIRECTOR DE OBRA</t>
    </r>
    <r>
      <rPr>
        <sz val="10"/>
        <rFont val="Arial Narrow"/>
        <family val="2"/>
      </rPr>
      <t xml:space="preserve">
CONTRATO No. 1
APORTA CERTIFICACIÓN COMO DIRECTOR DE OBRA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2
APORTA CERTIFICACIÓN COMO DIRECTOR DE OBRA EXPEDIDA POR ENTIDAD PRIVADA (PERSONA JURIDICA) DE REDES DE CABLEADO ESTRUCTURADO.
</t>
    </r>
    <r>
      <rPr>
        <sz val="10"/>
        <color rgb="FFFF0000"/>
        <rFont val="Arial Narrow"/>
        <family val="2"/>
      </rPr>
      <t>APORTA CERTIFICACIÓN DEL CONTRATO DE OBRA EJECUTADO EXPEDIDA POR ENTIDAD PUBLICA. DOCUMENTO NO VALIDADO, NO ADJUNTA ACTA DE RECIBO FINAL Y/O ACTA DE LIQUIDACIÓN.
NO APORTA CONTRATO LABORAL O DE PRESTACIONES DE SERVICIOS ENTRE LA FIRMA PRIVADA Y EL PROFESIONAL PROPUESTO.</t>
    </r>
  </si>
  <si>
    <r>
      <rPr>
        <b/>
        <sz val="10"/>
        <rFont val="Arial Narrow"/>
        <family val="2"/>
      </rPr>
      <t>RESIDENTE DE OBRA</t>
    </r>
    <r>
      <rPr>
        <sz val="10"/>
        <rFont val="Arial Narrow"/>
        <family val="2"/>
      </rPr>
      <t xml:space="preserve">
CONTRATO No. 1
APORTA CERTIFICACIÓN COMO RESIDENTE DE OBRA EXPEDIDA POR ENTIDAD PRIVADA (PERSONA JURIDICA) DE REDES DE CABLEADO ESTRUCTURADO.
APORTA ACTA DE LIQUIDACIÓN DEL CONTRATO DE OBRA EJECUTADO EXPEDIDA POR ENTIDAD PUBLICA.
</t>
    </r>
    <r>
      <rPr>
        <sz val="10"/>
        <color rgb="FFFF0000"/>
        <rFont val="Arial Narrow"/>
        <family val="2"/>
      </rPr>
      <t>NO APORTA CONTRATO LABORAL O DE PRESTACIONES DE SERVICIOS ENTRE LA FIRMA PRIVADA Y EL PROFESIONAL PROPUESTO.</t>
    </r>
    <r>
      <rPr>
        <sz val="10"/>
        <rFont val="Arial Narrow"/>
        <family val="2"/>
      </rPr>
      <t xml:space="preserve">
CONTRATO No. 2
APORTA CERTIFICACIÓN COMO RESIDENTE DE OBRA EXPEDIDA POR ENTIDAD PRIVADA (PERSONA JURIDICA) DE REDES DE CABLEADO ESTRUCTURADO.
</t>
    </r>
    <r>
      <rPr>
        <sz val="10"/>
        <color rgb="FFFF0000"/>
        <rFont val="Arial Narrow"/>
        <family val="2"/>
      </rPr>
      <t>APORTA CERTIFICACIÓN DEL CONTRATO DE OBRA EJECUTADO EXPEDIDA POR ENTIDAD PUBLICA. DOCUMENTO NO VALIDADO, NO ADJUNTA ACTA DE RECIBO FINAL Y/O ACTA DE LIQUIDACIÓN.
NO APORTA CONTRATO LABORAL O DE PRESTACIONES DE SERVICIOS ENTRE LA FIRMA PRIVADA Y EL PROFESIONAL PROPUESTO.</t>
    </r>
  </si>
  <si>
    <t>NO SE ASIGNA PUNTAJE - DEBE ESTAR HABILITADO</t>
  </si>
  <si>
    <r>
      <t xml:space="preserve">CERTIFICACIÓN No. 1
APORTA CERTIFICACIÓN COMO ASESOR EN EL AREA DE ENERGÍA ELECTRICA EXPEDIDA POR ENTIDAD PRIVADA (PERSONA JURIDICA). </t>
    </r>
    <r>
      <rPr>
        <sz val="10"/>
        <color rgb="FFFF0000"/>
        <rFont val="Arial Narrow"/>
        <family val="2"/>
      </rPr>
      <t>NO ESPECIFICA PARA QUE TIPO DE PROYECTOS.
EL CARGO ACREDITADO NO CORRESPONDE CON EL CARGO ESPECIFICO DE TECNICO ELECTRICO QUE SE REQUIERE EN EL PROCESO.</t>
    </r>
    <r>
      <rPr>
        <sz val="10"/>
        <rFont val="Arial Narrow"/>
        <family val="2"/>
      </rPr>
      <t xml:space="preserve">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r>
      <rPr>
        <sz val="10"/>
        <rFont val="Arial Narrow"/>
        <family val="2"/>
      </rPr>
      <t xml:space="preserve">
CERTIFICACIÓN No. 2
APORTA CERTIFICACIÓN COMO DOCENTE DE CATEDRA EXPEDIDA POR ENTIDAD PRIVADA (PERSONA JURIDICA). 
</t>
    </r>
    <r>
      <rPr>
        <sz val="10"/>
        <color rgb="FFFF0000"/>
        <rFont val="Arial Narrow"/>
        <family val="2"/>
      </rPr>
      <t>EL CARGO ACREDITADO NO CORRESPONDE CON EL CARGO ESPECIFICO DE TECNICO ELECTRICO QUE SE REQUIERE EN EL PROCESO.</t>
    </r>
    <r>
      <rPr>
        <sz val="10"/>
        <rFont val="Arial Narrow"/>
        <family val="2"/>
      </rPr>
      <t xml:space="preserve">
</t>
    </r>
    <r>
      <rPr>
        <sz val="10"/>
        <color rgb="FFFF0000"/>
        <rFont val="Arial Narrow"/>
        <family val="2"/>
      </rPr>
      <t xml:space="preserve">NO APORTA EL ACTA DE RECIBO FINAL Y/O ACTA DE LIQUIDACIÓN DEL CONTRATO DE OBRA EJECUTADO SUSCRITO ENTRE ENTIDAD CONTRATANTE Y FIRMA PRIVADA CONTRATISTA.
NO APORTA CONTRATO LABORAL O DE PRESTACIONES DE SERVICIOS ENTRE LA FIRMA PRIVADA Y EL PROFESIONAL PROPUESTO.
</t>
    </r>
    <r>
      <rPr>
        <sz val="10"/>
        <rFont val="Arial Narrow"/>
        <family val="2"/>
      </rPr>
      <t xml:space="preserve">CONTRATO No. 3
APORTA CERTIFICACIÓN COMO INGENIERO ELECTRICISTA EXPEDIDA POR ENTIDAD PRIVADA (PERSONA JURIDICA). </t>
    </r>
    <r>
      <rPr>
        <sz val="10"/>
        <color rgb="FFFF0000"/>
        <rFont val="Arial Narrow"/>
        <family val="2"/>
      </rPr>
      <t>NO SE ESPECIFICA EN QUE PROYECTO LABORÓ.</t>
    </r>
    <r>
      <rPr>
        <sz val="10"/>
        <rFont val="Arial Narrow"/>
        <family val="2"/>
      </rPr>
      <t xml:space="preserve">
</t>
    </r>
    <r>
      <rPr>
        <sz val="10"/>
        <color rgb="FFFF0000"/>
        <rFont val="Arial Narrow"/>
        <family val="2"/>
      </rPr>
      <t>EL CARGO ACREDITADO NO CORRESPONDE CON EL CARGO ESPECIFICO DE TECNICO ELECTRICO QUE SE REQUIERE EN EL PROCESO.
NO APORTA EL ACTA DE RECIBO FINAL Y/O ACTA DE LIQUIDACIÓN DEL CONTRATO DE OBRA EJECUTADO SUSCRITO ENTRE ENTIDAD CONTRATANTE Y FIRMA PRIVADA CONTRATISTA.
NO APORTA CONTRATO LABORAL O DE PRESTACIONES DE SERVICIOS ENTRE LA FIRMA PRIVADA Y EL PROFESIONAL PROPUESTO.</t>
    </r>
  </si>
  <si>
    <r>
      <rPr>
        <b/>
        <sz val="10"/>
        <rFont val="Arial Narrow"/>
        <family val="2"/>
      </rPr>
      <t>DIRECTOR DE OBRA</t>
    </r>
    <r>
      <rPr>
        <sz val="10"/>
        <rFont val="Arial Narrow"/>
        <family val="2"/>
      </rPr>
      <t xml:space="preserve">
CONTRATO No. 1
APORTA CERTIFICACIÓN COMO DIRECTOR DE OBRA EXPEDIDA POR ENTIDAD PRIVADA (PERSONA JURIDICA) DE INFRAESTRUCTURA ELECTRICA DE EDIFICACIÓN RESIDENCIAL.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</si>
  <si>
    <r>
      <rPr>
        <b/>
        <sz val="10"/>
        <rFont val="Arial Narrow"/>
        <family val="2"/>
      </rPr>
      <t>RESIDENTE DE OBRA</t>
    </r>
    <r>
      <rPr>
        <sz val="10"/>
        <rFont val="Arial Narrow"/>
        <family val="2"/>
      </rPr>
      <t xml:space="preserve">
CONTRATO No. 1
APORTA CERTIFICACIÓN COMO DIRECTOR DE OBRA EXPEDIDA POR ENTIDAD PRIVADA (PERSONA JURIDICA) DE INFRAESTRUCTURA ELECTRICA DE EDIFICACIÓN RESIDENCIAL.
</t>
    </r>
    <r>
      <rPr>
        <sz val="10"/>
        <color rgb="FFFF0000"/>
        <rFont val="Arial Narrow"/>
        <family val="2"/>
      </rPr>
      <t>NO APORTA EL ACTA DE RECIBO FINAL Y/O ACTA DE LIQUIDACIÓN DEL CONTRATO DE OBRA EJECUTADO SUSCRITO ENTRE ENTIDAD CONTRATANTE Y FIRMA PRIVADA CONTRATISTA.
NO APORTA CONTRATO LABORAL O DE PRESTACIONES DE SERVICIOS ENTRE LA FIRMA PRIVADA Y EL PROFESIONAL PROPUESTO.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</si>
</sst>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
    <numFmt numFmtId="176" formatCode="_-&quot;$&quot;* #,##0_-;\-&quot;$&quot;* #,##0_-;_-&quot;$&quot;* &quot;-&quot;??_-;_-@_-"/>
    <numFmt numFmtId="177" formatCode="_(* #,##0.00_);_(* \(#,##0.00\);_(* &quot;-&quot;??_);_(@_)"/>
    <numFmt numFmtId="178" formatCode="_(&quot;$&quot;\ * #,##0.00_);_(&quot;$&quot;\ * \(#,##0.00\);_(&quot;$&quot;\ * &quot;-&quot;??_);_(@_)"/>
    <numFmt numFmtId="179" formatCode="0.0000%"/>
    <numFmt numFmtId="180" formatCode="0.000%"/>
    <numFmt numFmtId="181" formatCode="0\ &quot;PUNTOS&quot;"/>
    <numFmt numFmtId="182" formatCode="_ [$$-240A]\ * #,##0_ ;_ [$$-240A]\ * \-#,##0_ ;_ [$$-240A]\ * &quot;-&quot;_ ;_ @_ "/>
  </numFmts>
  <fonts count="4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b/>
      <sz val="10"/>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1"/>
      <color rgb="FFFFC000"/>
      <name val="Calibri"/>
      <family val="2"/>
      <scheme val="minor"/>
    </font>
    <font>
      <b/>
      <sz val="11"/>
      <name val="Calibri"/>
      <family val="2"/>
      <scheme val="minor"/>
    </font>
    <font>
      <b/>
      <sz val="14"/>
      <name val="Arial Narrow"/>
      <family val="2"/>
    </font>
    <font>
      <sz val="14"/>
      <name val="Arial Narrow"/>
      <family val="2"/>
    </font>
    <font>
      <b/>
      <sz val="14"/>
      <color rgb="FFFF0000"/>
      <name val="Arial Narrow"/>
      <family val="2"/>
    </font>
    <font>
      <sz val="10"/>
      <name val="Arial"/>
      <family val="2"/>
    </font>
    <font>
      <b/>
      <sz val="14"/>
      <color rgb="FF0070C0"/>
      <name val="Arial Narrow"/>
      <family val="2"/>
    </font>
    <font>
      <sz val="10"/>
      <name val="Arial"/>
      <family val="2"/>
    </font>
    <font>
      <sz val="11"/>
      <color theme="1"/>
      <name val="Arial Narrow"/>
      <family val="2"/>
    </font>
    <font>
      <sz val="11"/>
      <color indexed="8"/>
      <name val="Calibri"/>
      <family val="2"/>
    </font>
    <font>
      <sz val="11"/>
      <color rgb="FF000000"/>
      <name val="Calibri"/>
      <family val="2"/>
      <charset val="204"/>
    </font>
    <font>
      <b/>
      <sz val="11"/>
      <color theme="1"/>
      <name val="Calibri"/>
      <family val="2"/>
      <scheme val="minor"/>
    </font>
    <font>
      <sz val="11"/>
      <name val="Arial Narrow"/>
      <family val="2"/>
    </font>
    <font>
      <b/>
      <u/>
      <sz val="10"/>
      <name val="Arial Narrow"/>
      <family val="2"/>
    </font>
    <font>
      <b/>
      <sz val="20"/>
      <name val="Arial Narrow"/>
      <family val="2"/>
    </font>
    <font>
      <b/>
      <sz val="20"/>
      <color theme="1"/>
      <name val="Calibri"/>
      <family val="2"/>
      <scheme val="minor"/>
    </font>
    <font>
      <b/>
      <sz val="12"/>
      <color theme="1"/>
      <name val="Arial"/>
      <family val="2"/>
    </font>
    <font>
      <sz val="12"/>
      <color theme="1"/>
      <name val="Calibri"/>
      <family val="2"/>
      <scheme val="minor"/>
    </font>
    <font>
      <b/>
      <sz val="12"/>
      <color rgb="FFFF0000"/>
      <name val="Arial Narrow"/>
      <family val="2"/>
    </font>
    <font>
      <b/>
      <sz val="9"/>
      <name val="Arial Narrow"/>
      <family val="2"/>
    </font>
    <font>
      <sz val="10"/>
      <color rgb="FFFF0000"/>
      <name val="Arial Narrow"/>
      <family val="2"/>
    </font>
    <font>
      <b/>
      <sz val="10"/>
      <color rgb="FFFF0000"/>
      <name val="Calibri"/>
      <family val="2"/>
      <scheme val="minor"/>
    </font>
    <font>
      <sz val="9"/>
      <name val="Arial Narrow"/>
      <family val="2"/>
    </font>
    <font>
      <b/>
      <sz val="10"/>
      <color rgb="FF000000"/>
      <name val="Arial Narrow"/>
      <family val="2"/>
    </font>
    <font>
      <sz val="10"/>
      <color theme="1"/>
      <name val="Arial Narrow"/>
      <family val="2"/>
    </font>
    <font>
      <sz val="10"/>
      <color rgb="FF000000"/>
      <name val="Arial Narrow"/>
      <family val="2"/>
    </font>
    <font>
      <sz val="9"/>
      <color rgb="FFFF0000"/>
      <name val="Arial Narrow"/>
      <family val="2"/>
    </font>
    <font>
      <sz val="12"/>
      <color rgb="FFFF00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tint="-9.9978637043366805E-2"/>
        <bgColor indexed="64"/>
      </patternFill>
    </fill>
    <fill>
      <patternFill patternType="solid">
        <fgColor rgb="FF9BC2E6"/>
        <bgColor indexed="64"/>
      </patternFill>
    </fill>
    <fill>
      <patternFill patternType="solid">
        <fgColor rgb="FFDDEBF7"/>
        <bgColor indexed="64"/>
      </patternFill>
    </fill>
    <fill>
      <patternFill patternType="solid">
        <fgColor rgb="FF94C476"/>
        <bgColor indexed="64"/>
      </patternFill>
    </fill>
    <fill>
      <patternFill patternType="solid">
        <fgColor rgb="FFE2EFDA"/>
        <bgColor indexed="64"/>
      </patternFill>
    </fill>
    <fill>
      <patternFill patternType="solid">
        <fgColor rgb="FFC9C9C9"/>
        <bgColor indexed="64"/>
      </patternFill>
    </fill>
    <fill>
      <patternFill patternType="solid">
        <fgColor rgb="FFDBDBDB"/>
        <bgColor indexed="64"/>
      </patternFill>
    </fill>
    <fill>
      <patternFill patternType="solid">
        <fgColor rgb="FFDEA900"/>
        <bgColor indexed="64"/>
      </patternFill>
    </fill>
    <fill>
      <patternFill patternType="solid">
        <fgColor rgb="FFFFD966"/>
        <bgColor indexed="64"/>
      </patternFill>
    </fill>
    <fill>
      <patternFill patternType="solid">
        <fgColor rgb="FFFB7725"/>
        <bgColor indexed="64"/>
      </patternFill>
    </fill>
    <fill>
      <patternFill patternType="solid">
        <fgColor rgb="FFFDB487"/>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0" fillId="0" borderId="0" applyFont="0" applyFill="0" applyBorder="0" applyAlignment="0" applyProtection="0"/>
    <xf numFmtId="0" fontId="10"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18" fillId="0" borderId="0"/>
    <xf numFmtId="0" fontId="2" fillId="0" borderId="0"/>
    <xf numFmtId="0" fontId="19" fillId="0" borderId="0"/>
    <xf numFmtId="41" fontId="1" fillId="0" borderId="0" applyFont="0" applyFill="0" applyBorder="0" applyAlignment="0" applyProtection="0"/>
    <xf numFmtId="0" fontId="25" fillId="0" borderId="0"/>
    <xf numFmtId="0" fontId="27" fillId="0" borderId="0"/>
    <xf numFmtId="0" fontId="1" fillId="0" borderId="0"/>
    <xf numFmtId="177"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2" fontId="1" fillId="0" borderId="0" applyFont="0" applyFill="0" applyBorder="0" applyAlignment="0" applyProtection="0"/>
    <xf numFmtId="178" fontId="29" fillId="0" borderId="0" applyFont="0" applyFill="0" applyBorder="0" applyAlignment="0" applyProtection="0"/>
    <xf numFmtId="0" fontId="30" fillId="0" borderId="0"/>
    <xf numFmtId="41" fontId="1" fillId="0" borderId="0" applyFont="0" applyFill="0" applyBorder="0" applyAlignment="0" applyProtection="0"/>
  </cellStyleXfs>
  <cellXfs count="417">
    <xf numFmtId="0" fontId="0" fillId="0" borderId="0" xfId="0"/>
    <xf numFmtId="0" fontId="8" fillId="0" borderId="0" xfId="0" applyFont="1" applyFill="1" applyAlignment="1">
      <alignment horizontal="center" vertical="center"/>
    </xf>
    <xf numFmtId="0" fontId="0" fillId="0" borderId="0" xfId="0" applyBorder="1"/>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0" fontId="0" fillId="0" borderId="14" xfId="0" applyBorder="1"/>
    <xf numFmtId="0" fontId="0" fillId="0" borderId="15" xfId="0" applyBorder="1"/>
    <xf numFmtId="0" fontId="0" fillId="0" borderId="8" xfId="0" applyBorder="1"/>
    <xf numFmtId="0" fontId="2" fillId="2" borderId="15" xfId="0" applyFont="1" applyFill="1" applyBorder="1" applyAlignment="1">
      <alignment horizontal="center" vertical="center"/>
    </xf>
    <xf numFmtId="4" fontId="0" fillId="0" borderId="0" xfId="0" applyNumberFormat="1" applyFill="1" applyBorder="1"/>
    <xf numFmtId="0" fontId="2" fillId="0" borderId="8" xfId="0" applyFont="1" applyBorder="1" applyAlignment="1">
      <alignment horizontal="center"/>
    </xf>
    <xf numFmtId="0" fontId="2" fillId="0" borderId="15" xfId="0" applyFont="1" applyBorder="1"/>
    <xf numFmtId="9" fontId="0" fillId="0" borderId="0" xfId="110" applyFont="1" applyBorder="1"/>
    <xf numFmtId="0" fontId="0" fillId="0" borderId="8" xfId="0" applyFill="1" applyBorder="1"/>
    <xf numFmtId="0" fontId="0" fillId="0" borderId="12" xfId="0" applyBorder="1"/>
    <xf numFmtId="0" fontId="0" fillId="0" borderId="11" xfId="0" applyBorder="1"/>
    <xf numFmtId="0" fontId="2" fillId="2" borderId="12" xfId="0" applyFont="1" applyFill="1" applyBorder="1" applyAlignment="1">
      <alignment horizontal="center" vertical="center"/>
    </xf>
    <xf numFmtId="3" fontId="0" fillId="4" borderId="9" xfId="0" applyNumberFormat="1" applyFill="1" applyBorder="1"/>
    <xf numFmtId="0" fontId="0" fillId="0" borderId="0" xfId="0" applyFill="1" applyBorder="1"/>
    <xf numFmtId="0" fontId="0" fillId="0" borderId="15" xfId="0" applyFill="1" applyBorder="1"/>
    <xf numFmtId="0" fontId="0" fillId="0" borderId="11" xfId="0" applyFill="1" applyBorder="1"/>
    <xf numFmtId="0" fontId="0" fillId="0" borderId="13" xfId="0" applyFill="1" applyBorder="1"/>
    <xf numFmtId="0" fontId="12" fillId="0" borderId="0" xfId="0" applyFont="1" applyFill="1" applyBorder="1"/>
    <xf numFmtId="0" fontId="6" fillId="0" borderId="0" xfId="111" applyFont="1" applyFill="1" applyAlignment="1">
      <alignment vertical="center"/>
    </xf>
    <xf numFmtId="0" fontId="13" fillId="0" borderId="0" xfId="111" applyFont="1" applyFill="1" applyAlignment="1">
      <alignment vertical="center"/>
    </xf>
    <xf numFmtId="0" fontId="2" fillId="0" borderId="0" xfId="111" applyFont="1" applyFill="1" applyAlignment="1">
      <alignment vertical="center"/>
    </xf>
    <xf numFmtId="0" fontId="14" fillId="0" borderId="0" xfId="111" applyFont="1" applyFill="1" applyAlignment="1">
      <alignment vertical="center"/>
    </xf>
    <xf numFmtId="0" fontId="6" fillId="0" borderId="0" xfId="111" applyFont="1" applyFill="1" applyBorder="1" applyAlignment="1">
      <alignment vertical="center"/>
    </xf>
    <xf numFmtId="0" fontId="6" fillId="0" borderId="9" xfId="111" applyFont="1" applyFill="1" applyBorder="1" applyAlignment="1">
      <alignment vertical="center"/>
    </xf>
    <xf numFmtId="0" fontId="13" fillId="0" borderId="0" xfId="111" applyFont="1" applyFill="1"/>
    <xf numFmtId="0" fontId="13" fillId="0" borderId="0" xfId="111" applyFont="1" applyBorder="1" applyAlignment="1">
      <alignment horizontal="justify" vertical="justify"/>
    </xf>
    <xf numFmtId="0" fontId="14" fillId="0" borderId="0" xfId="111" applyFont="1" applyFill="1" applyAlignment="1">
      <alignment horizontal="center" vertical="center"/>
    </xf>
    <xf numFmtId="0" fontId="13" fillId="0" borderId="0" xfId="111" applyFont="1" applyFill="1" applyAlignment="1">
      <alignment horizontal="center" vertical="center"/>
    </xf>
    <xf numFmtId="0" fontId="13" fillId="0" borderId="0" xfId="111" applyFont="1" applyFill="1" applyAlignment="1">
      <alignment horizontal="justify" vertical="justify"/>
    </xf>
    <xf numFmtId="0" fontId="15" fillId="0" borderId="0" xfId="111" applyFont="1" applyFill="1" applyAlignment="1">
      <alignment horizontal="justify" vertical="justify"/>
    </xf>
    <xf numFmtId="0" fontId="14" fillId="0" borderId="0" xfId="111" applyFont="1" applyFill="1" applyAlignment="1">
      <alignment horizontal="justify" vertical="justify"/>
    </xf>
    <xf numFmtId="0" fontId="14" fillId="0" borderId="0" xfId="111" applyFont="1" applyFill="1" applyBorder="1" applyAlignment="1">
      <alignment horizontal="left" vertical="top"/>
    </xf>
    <xf numFmtId="0" fontId="12" fillId="0" borderId="0" xfId="111" applyFont="1" applyFill="1"/>
    <xf numFmtId="0" fontId="14" fillId="0" borderId="0" xfId="111" applyFont="1" applyFill="1"/>
    <xf numFmtId="9" fontId="5" fillId="0" borderId="0" xfId="110" applyFont="1" applyBorder="1"/>
    <xf numFmtId="3" fontId="0" fillId="0" borderId="0" xfId="0" applyNumberFormat="1" applyBorder="1"/>
    <xf numFmtId="0" fontId="0" fillId="0" borderId="17" xfId="0" applyBorder="1" applyAlignment="1">
      <alignment horizontal="center"/>
    </xf>
    <xf numFmtId="9" fontId="0" fillId="0" borderId="17" xfId="110" applyFont="1" applyBorder="1"/>
    <xf numFmtId="3" fontId="0" fillId="0" borderId="17" xfId="0" applyNumberFormat="1" applyBorder="1"/>
    <xf numFmtId="9" fontId="11" fillId="0" borderId="15" xfId="96" applyFont="1" applyFill="1" applyBorder="1"/>
    <xf numFmtId="0" fontId="14" fillId="0" borderId="19" xfId="111" applyFont="1" applyFill="1" applyBorder="1" applyAlignment="1">
      <alignment horizontal="center" vertical="center" wrapText="1"/>
    </xf>
    <xf numFmtId="0" fontId="15" fillId="0" borderId="18" xfId="111" applyFont="1" applyFill="1" applyBorder="1" applyAlignment="1">
      <alignment horizontal="center" vertical="center"/>
    </xf>
    <xf numFmtId="0" fontId="6" fillId="0" borderId="0" xfId="111" applyFont="1" applyFill="1" applyBorder="1" applyAlignment="1">
      <alignment vertical="center" wrapText="1"/>
    </xf>
    <xf numFmtId="0" fontId="7" fillId="0" borderId="0" xfId="0" applyFont="1" applyFill="1" applyAlignment="1">
      <alignment horizontal="center" vertical="center"/>
    </xf>
    <xf numFmtId="0" fontId="15" fillId="0" borderId="19" xfId="111" applyFont="1" applyFill="1" applyBorder="1" applyAlignment="1">
      <alignment horizontal="center" vertical="center"/>
    </xf>
    <xf numFmtId="0" fontId="15" fillId="0" borderId="19" xfId="111" applyFont="1" applyFill="1" applyBorder="1" applyAlignment="1">
      <alignment horizontal="center" vertical="center" wrapText="1"/>
    </xf>
    <xf numFmtId="0" fontId="15" fillId="5" borderId="19" xfId="111" applyFont="1" applyFill="1" applyBorder="1" applyAlignment="1">
      <alignment horizontal="justify" vertical="center"/>
    </xf>
    <xf numFmtId="0" fontId="14" fillId="0" borderId="19" xfId="0" applyFont="1" applyFill="1" applyBorder="1" applyAlignment="1">
      <alignment horizontal="center" vertical="center"/>
    </xf>
    <xf numFmtId="0" fontId="15" fillId="5" borderId="19" xfId="111" applyFont="1" applyFill="1" applyBorder="1" applyAlignment="1">
      <alignment horizontal="left" vertical="center"/>
    </xf>
    <xf numFmtId="0" fontId="13" fillId="6" borderId="19" xfId="111" applyFont="1" applyFill="1" applyBorder="1" applyAlignment="1">
      <alignment horizontal="left" vertical="center" wrapText="1"/>
    </xf>
    <xf numFmtId="0" fontId="12" fillId="0" borderId="0" xfId="111" applyFont="1" applyFill="1" applyAlignment="1">
      <alignment horizontal="center" vertical="center"/>
    </xf>
    <xf numFmtId="0" fontId="14" fillId="0" borderId="0" xfId="111" applyFont="1" applyFill="1" applyAlignment="1">
      <alignment horizontal="right" vertical="justify"/>
    </xf>
    <xf numFmtId="170" fontId="14" fillId="0" borderId="0" xfId="111" applyNumberFormat="1" applyFont="1" applyFill="1" applyAlignment="1">
      <alignment horizontal="center" vertical="center"/>
    </xf>
    <xf numFmtId="170" fontId="14" fillId="0" borderId="0" xfId="111" applyNumberFormat="1" applyFont="1" applyFill="1" applyAlignment="1">
      <alignment horizontal="justify" vertical="justify"/>
    </xf>
    <xf numFmtId="175" fontId="12" fillId="0" borderId="0" xfId="111" applyNumberFormat="1" applyFont="1" applyFill="1" applyAlignment="1">
      <alignment horizontal="center" vertical="center"/>
    </xf>
    <xf numFmtId="175" fontId="14" fillId="0" borderId="0" xfId="111" applyNumberFormat="1" applyFont="1" applyFill="1" applyAlignment="1">
      <alignment horizontal="center" vertical="center"/>
    </xf>
    <xf numFmtId="0" fontId="22" fillId="0" borderId="0" xfId="111" applyFont="1" applyFill="1" applyAlignment="1">
      <alignment horizontal="center" vertical="center"/>
    </xf>
    <xf numFmtId="1" fontId="22" fillId="0" borderId="0" xfId="111" applyNumberFormat="1" applyFont="1" applyFill="1" applyAlignment="1">
      <alignment horizontal="center" vertical="center"/>
    </xf>
    <xf numFmtId="175" fontId="12" fillId="0" borderId="0" xfId="111" applyNumberFormat="1" applyFont="1" applyFill="1" applyAlignment="1">
      <alignment horizontal="justify" vertical="justify"/>
    </xf>
    <xf numFmtId="0" fontId="12" fillId="0" borderId="0" xfId="111" applyFont="1" applyFill="1" applyAlignment="1">
      <alignment horizontal="justify" vertical="justify"/>
    </xf>
    <xf numFmtId="0" fontId="12" fillId="0" borderId="0" xfId="111" applyFont="1" applyFill="1" applyAlignment="1">
      <alignment vertical="center"/>
    </xf>
    <xf numFmtId="170" fontId="12" fillId="0" borderId="0" xfId="111" applyNumberFormat="1" applyFont="1" applyFill="1" applyAlignment="1">
      <alignment horizontal="justify" vertical="justify"/>
    </xf>
    <xf numFmtId="170" fontId="14" fillId="0" borderId="19" xfId="111" applyNumberFormat="1" applyFont="1" applyFill="1" applyBorder="1" applyAlignment="1">
      <alignment horizontal="center" vertical="justify"/>
    </xf>
    <xf numFmtId="170" fontId="23" fillId="0" borderId="19" xfId="111" applyNumberFormat="1" applyFont="1" applyFill="1" applyBorder="1" applyAlignment="1">
      <alignment horizontal="center" vertical="center"/>
    </xf>
    <xf numFmtId="0" fontId="23" fillId="0" borderId="19" xfId="111" applyNumberFormat="1" applyFont="1" applyFill="1" applyBorder="1" applyAlignment="1">
      <alignment horizontal="center" vertical="center"/>
    </xf>
    <xf numFmtId="0" fontId="23" fillId="0" borderId="19" xfId="111" applyFont="1" applyFill="1" applyBorder="1" applyAlignment="1">
      <alignment horizontal="center" vertical="center"/>
    </xf>
    <xf numFmtId="0" fontId="23" fillId="0" borderId="0" xfId="111" applyFont="1" applyFill="1" applyAlignment="1">
      <alignment horizontal="justify" vertical="justify"/>
    </xf>
    <xf numFmtId="2" fontId="24" fillId="0" borderId="19" xfId="111" applyNumberFormat="1" applyFont="1" applyFill="1" applyBorder="1" applyAlignment="1">
      <alignment horizontal="center" vertical="center"/>
    </xf>
    <xf numFmtId="2" fontId="22" fillId="0" borderId="19" xfId="111" applyNumberFormat="1" applyFont="1" applyFill="1" applyBorder="1" applyAlignment="1">
      <alignment horizontal="center" vertical="center"/>
    </xf>
    <xf numFmtId="0" fontId="8" fillId="0" borderId="17" xfId="0" applyFont="1" applyFill="1" applyBorder="1" applyAlignment="1">
      <alignment horizontal="center" vertical="center"/>
    </xf>
    <xf numFmtId="174" fontId="8" fillId="0" borderId="17" xfId="116" applyNumberFormat="1" applyFont="1" applyFill="1" applyBorder="1" applyAlignment="1">
      <alignment horizontal="center" vertical="center"/>
    </xf>
    <xf numFmtId="168" fontId="8" fillId="0" borderId="17" xfId="0" applyNumberFormat="1" applyFont="1" applyFill="1" applyBorder="1" applyAlignment="1">
      <alignment vertical="center"/>
    </xf>
    <xf numFmtId="170" fontId="26" fillId="0" borderId="19" xfId="111" applyNumberFormat="1" applyFont="1" applyFill="1" applyBorder="1" applyAlignment="1">
      <alignment horizontal="center" vertical="justify"/>
    </xf>
    <xf numFmtId="0" fontId="16" fillId="0" borderId="18" xfId="111" applyFont="1" applyFill="1" applyBorder="1" applyAlignment="1">
      <alignment horizontal="center" vertical="center"/>
    </xf>
    <xf numFmtId="0" fontId="22" fillId="2" borderId="17" xfId="111" applyFont="1" applyFill="1" applyBorder="1" applyAlignment="1">
      <alignment horizontal="center" vertical="center"/>
    </xf>
    <xf numFmtId="170" fontId="22" fillId="0" borderId="19" xfId="111" applyNumberFormat="1" applyFont="1" applyFill="1" applyBorder="1" applyAlignment="1">
      <alignment horizontal="center" vertical="justify"/>
    </xf>
    <xf numFmtId="0" fontId="0" fillId="2" borderId="1" xfId="0" applyFill="1" applyBorder="1" applyAlignment="1">
      <alignment horizontal="center"/>
    </xf>
    <xf numFmtId="0" fontId="2" fillId="2" borderId="1" xfId="0" applyFont="1" applyFill="1" applyBorder="1" applyAlignment="1">
      <alignment horizontal="center" vertical="center" wrapText="1"/>
    </xf>
    <xf numFmtId="166" fontId="28" fillId="0" borderId="0" xfId="1" applyNumberFormat="1" applyFont="1" applyBorder="1" applyAlignment="1">
      <alignment horizontal="center"/>
    </xf>
    <xf numFmtId="0" fontId="15" fillId="0" borderId="9" xfId="111" applyFont="1" applyFill="1" applyBorder="1" applyAlignment="1">
      <alignment vertical="center"/>
    </xf>
    <xf numFmtId="0" fontId="15" fillId="0" borderId="9" xfId="111" applyFont="1" applyFill="1" applyBorder="1" applyAlignment="1">
      <alignment vertical="justify"/>
    </xf>
    <xf numFmtId="0" fontId="2" fillId="0" borderId="0" xfId="111" applyBorder="1"/>
    <xf numFmtId="0" fontId="13" fillId="0" borderId="20" xfId="111" applyFont="1" applyFill="1" applyBorder="1" applyAlignment="1">
      <alignment horizontal="center" vertical="center"/>
    </xf>
    <xf numFmtId="0" fontId="13" fillId="0" borderId="20" xfId="111" applyFont="1" applyFill="1" applyBorder="1" applyAlignment="1">
      <alignment horizontal="justify" vertical="justify"/>
    </xf>
    <xf numFmtId="0" fontId="2" fillId="0" borderId="0" xfId="111"/>
    <xf numFmtId="0" fontId="15" fillId="0" borderId="10" xfId="111" applyFont="1" applyFill="1" applyBorder="1" applyAlignment="1">
      <alignment horizontal="center" vertical="center" wrapText="1"/>
    </xf>
    <xf numFmtId="0" fontId="15" fillId="0" borderId="20" xfId="111" applyFont="1" applyFill="1" applyBorder="1" applyAlignment="1">
      <alignment horizontal="center" vertical="center" wrapText="1"/>
    </xf>
    <xf numFmtId="0" fontId="14" fillId="0" borderId="20" xfId="111" applyFont="1" applyFill="1" applyBorder="1" applyAlignment="1">
      <alignment horizontal="center" vertical="center" wrapText="1"/>
    </xf>
    <xf numFmtId="0" fontId="14" fillId="0" borderId="20" xfId="0" applyFont="1" applyFill="1" applyBorder="1" applyAlignment="1">
      <alignment horizontal="center" vertical="center"/>
    </xf>
    <xf numFmtId="0" fontId="15" fillId="3" borderId="12" xfId="111" applyFont="1" applyFill="1" applyBorder="1" applyAlignment="1">
      <alignment horizontal="center" vertical="center"/>
    </xf>
    <xf numFmtId="0" fontId="14" fillId="0" borderId="0" xfId="111" applyFont="1" applyFill="1" applyBorder="1" applyAlignment="1">
      <alignment horizontal="left" vertical="center"/>
    </xf>
    <xf numFmtId="0" fontId="12" fillId="0" borderId="0" xfId="111" applyFont="1" applyFill="1" applyAlignment="1">
      <alignment horizontal="justify" vertical="center"/>
    </xf>
    <xf numFmtId="0" fontId="12" fillId="0" borderId="0" xfId="111" applyFont="1"/>
    <xf numFmtId="0" fontId="15" fillId="0" borderId="9" xfId="111" applyFont="1" applyFill="1" applyBorder="1" applyAlignment="1">
      <alignment horizontal="center" vertical="justify"/>
    </xf>
    <xf numFmtId="0" fontId="13" fillId="0" borderId="21" xfId="111" applyFont="1" applyFill="1" applyBorder="1" applyAlignment="1">
      <alignment horizontal="center" vertical="justify"/>
    </xf>
    <xf numFmtId="0" fontId="2" fillId="0" borderId="0" xfId="111" applyAlignment="1">
      <alignment horizontal="center"/>
    </xf>
    <xf numFmtId="0" fontId="14" fillId="0" borderId="0" xfId="111" applyFont="1" applyFill="1" applyBorder="1" applyAlignment="1">
      <alignment horizontal="center" vertical="top"/>
    </xf>
    <xf numFmtId="0" fontId="12" fillId="0" borderId="0" xfId="111" applyFont="1" applyFill="1" applyAlignment="1">
      <alignment horizontal="center"/>
    </xf>
    <xf numFmtId="0" fontId="13" fillId="0" borderId="0" xfId="111" applyFont="1" applyFill="1" applyAlignment="1">
      <alignment horizontal="center"/>
    </xf>
    <xf numFmtId="0" fontId="16" fillId="0" borderId="18" xfId="111" applyFont="1" applyFill="1" applyBorder="1" applyAlignment="1">
      <alignment horizontal="center" vertical="center"/>
    </xf>
    <xf numFmtId="0" fontId="6" fillId="0" borderId="0" xfId="111" applyFont="1" applyFill="1" applyBorder="1" applyAlignment="1">
      <alignment vertical="center" wrapText="1"/>
    </xf>
    <xf numFmtId="0" fontId="15" fillId="0" borderId="10" xfId="111" applyFont="1" applyFill="1" applyBorder="1" applyAlignment="1">
      <alignment horizontal="center" vertical="center"/>
    </xf>
    <xf numFmtId="0" fontId="13" fillId="0" borderId="10" xfId="111" applyFont="1" applyFill="1" applyBorder="1" applyAlignment="1">
      <alignment horizontal="center" vertical="center"/>
    </xf>
    <xf numFmtId="0" fontId="15" fillId="8" borderId="20" xfId="111" applyFont="1" applyFill="1" applyBorder="1" applyAlignment="1">
      <alignment vertical="center"/>
    </xf>
    <xf numFmtId="0" fontId="15" fillId="8" borderId="20" xfId="111" applyFont="1" applyFill="1" applyBorder="1" applyAlignment="1">
      <alignment vertical="justify"/>
    </xf>
    <xf numFmtId="0" fontId="15" fillId="8" borderId="24" xfId="111" applyFont="1" applyFill="1" applyBorder="1" applyAlignment="1">
      <alignment horizontal="center" vertical="justify"/>
    </xf>
    <xf numFmtId="0" fontId="14" fillId="8" borderId="20" xfId="111" applyFont="1" applyFill="1" applyBorder="1" applyAlignment="1">
      <alignment horizontal="center" vertical="center" wrapText="1"/>
    </xf>
    <xf numFmtId="0" fontId="15" fillId="8" borderId="23" xfId="111" applyFont="1" applyFill="1" applyBorder="1" applyAlignment="1">
      <alignment vertical="justify"/>
    </xf>
    <xf numFmtId="0" fontId="2" fillId="8" borderId="0" xfId="111" applyFill="1"/>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0" xfId="0" applyFont="1" applyFill="1" applyBorder="1" applyAlignment="1">
      <alignment horizontal="left" vertical="center"/>
    </xf>
    <xf numFmtId="0" fontId="8" fillId="0" borderId="20" xfId="0" applyFont="1" applyFill="1" applyBorder="1" applyAlignment="1">
      <alignment horizontal="center" vertical="center"/>
    </xf>
    <xf numFmtId="0" fontId="5" fillId="0" borderId="27" xfId="109" applyNumberFormat="1" applyFont="1" applyBorder="1" applyAlignment="1">
      <alignment horizontal="center" vertical="center"/>
    </xf>
    <xf numFmtId="176" fontId="8" fillId="0" borderId="17" xfId="95" applyNumberFormat="1" applyFont="1" applyFill="1" applyBorder="1" applyAlignment="1">
      <alignment vertical="center"/>
    </xf>
    <xf numFmtId="0" fontId="8" fillId="0" borderId="17" xfId="0" applyFont="1" applyFill="1" applyBorder="1" applyAlignment="1">
      <alignment horizontal="left" vertical="center" wrapText="1"/>
    </xf>
    <xf numFmtId="168" fontId="8" fillId="0" borderId="20" xfId="0" applyNumberFormat="1" applyFont="1" applyFill="1" applyBorder="1" applyAlignment="1">
      <alignment vertical="center"/>
    </xf>
    <xf numFmtId="0" fontId="7" fillId="0" borderId="17" xfId="0" applyFont="1" applyFill="1" applyBorder="1" applyAlignment="1">
      <alignment horizontal="left" vertical="center"/>
    </xf>
    <xf numFmtId="168" fontId="7" fillId="0" borderId="17" xfId="0" applyNumberFormat="1" applyFont="1" applyFill="1" applyBorder="1" applyAlignment="1">
      <alignment vertical="center"/>
    </xf>
    <xf numFmtId="3" fontId="2" fillId="0" borderId="20" xfId="97" applyNumberFormat="1" applyFont="1" applyFill="1" applyBorder="1" applyAlignment="1">
      <alignment horizontal="right" vertical="center"/>
    </xf>
    <xf numFmtId="10" fontId="2" fillId="0" borderId="20" xfId="96" applyNumberFormat="1" applyFont="1" applyFill="1" applyBorder="1" applyAlignment="1">
      <alignment horizontal="center" vertical="center"/>
    </xf>
    <xf numFmtId="10" fontId="8" fillId="0" borderId="20" xfId="96" applyNumberFormat="1" applyFont="1" applyFill="1" applyBorder="1" applyAlignment="1">
      <alignment horizontal="center" vertical="center"/>
    </xf>
    <xf numFmtId="168" fontId="9" fillId="0" borderId="20" xfId="1" applyNumberFormat="1" applyFont="1" applyFill="1" applyBorder="1" applyAlignment="1">
      <alignment horizontal="left" vertical="center"/>
    </xf>
    <xf numFmtId="10" fontId="9" fillId="0" borderId="20" xfId="96" applyNumberFormat="1" applyFont="1" applyFill="1" applyBorder="1" applyAlignment="1">
      <alignment horizontal="center" vertical="center"/>
    </xf>
    <xf numFmtId="3" fontId="9" fillId="0" borderId="20" xfId="97" applyNumberFormat="1" applyFont="1" applyFill="1" applyBorder="1" applyAlignment="1">
      <alignment horizontal="left" vertical="center"/>
    </xf>
    <xf numFmtId="10" fontId="9" fillId="0" borderId="23" xfId="96" applyNumberFormat="1" applyFont="1" applyFill="1" applyBorder="1" applyAlignment="1">
      <alignment horizontal="center" vertical="center"/>
    </xf>
    <xf numFmtId="168" fontId="9" fillId="0" borderId="21" xfId="1" applyNumberFormat="1" applyFont="1" applyFill="1" applyBorder="1" applyAlignment="1">
      <alignment horizontal="left" vertical="center"/>
    </xf>
    <xf numFmtId="0" fontId="8" fillId="0" borderId="22" xfId="0" applyFont="1" applyFill="1" applyBorder="1" applyAlignment="1">
      <alignment horizontal="center" vertical="center"/>
    </xf>
    <xf numFmtId="9" fontId="8" fillId="0" borderId="20" xfId="96" applyFont="1" applyFill="1" applyBorder="1" applyAlignment="1">
      <alignment vertical="center"/>
    </xf>
    <xf numFmtId="0" fontId="7" fillId="0" borderId="20" xfId="0" applyFont="1" applyFill="1" applyBorder="1" applyAlignment="1">
      <alignment vertical="center"/>
    </xf>
    <xf numFmtId="0" fontId="7" fillId="0" borderId="17" xfId="0" applyFont="1" applyFill="1" applyBorder="1" applyAlignment="1">
      <alignment vertical="center"/>
    </xf>
    <xf numFmtId="10" fontId="7" fillId="0" borderId="17" xfId="96" applyNumberFormat="1" applyFont="1" applyFill="1" applyBorder="1" applyAlignment="1">
      <alignment vertical="center"/>
    </xf>
    <xf numFmtId="0" fontId="5" fillId="0" borderId="27" xfId="109" applyFont="1" applyBorder="1" applyAlignment="1">
      <alignment horizontal="center" vertical="center"/>
    </xf>
    <xf numFmtId="0" fontId="7" fillId="0" borderId="17" xfId="0" applyFont="1" applyFill="1" applyBorder="1" applyAlignment="1">
      <alignment horizontal="left" vertical="center" wrapText="1"/>
    </xf>
    <xf numFmtId="170" fontId="7" fillId="0" borderId="17" xfId="0" applyNumberFormat="1" applyFont="1" applyFill="1" applyBorder="1" applyAlignment="1">
      <alignment vertical="center"/>
    </xf>
    <xf numFmtId="170" fontId="8" fillId="0" borderId="20" xfId="0" applyNumberFormat="1" applyFont="1" applyFill="1" applyBorder="1" applyAlignment="1">
      <alignment vertical="center"/>
    </xf>
    <xf numFmtId="170" fontId="7" fillId="0" borderId="20" xfId="0" applyNumberFormat="1" applyFont="1" applyFill="1" applyBorder="1" applyAlignment="1">
      <alignment vertical="center"/>
    </xf>
    <xf numFmtId="9" fontId="8" fillId="0" borderId="17" xfId="96" applyFont="1" applyFill="1" applyBorder="1" applyAlignment="1">
      <alignment vertical="center"/>
    </xf>
    <xf numFmtId="170" fontId="20" fillId="7" borderId="27" xfId="109" applyNumberFormat="1" applyFont="1" applyFill="1" applyBorder="1" applyAlignment="1">
      <alignment horizontal="right" vertical="center"/>
    </xf>
    <xf numFmtId="179" fontId="8" fillId="0" borderId="17" xfId="96" applyNumberFormat="1" applyFont="1" applyFill="1" applyBorder="1" applyAlignment="1">
      <alignment vertical="center"/>
    </xf>
    <xf numFmtId="0" fontId="15" fillId="5" borderId="19" xfId="111" applyFont="1" applyFill="1" applyBorder="1" applyAlignment="1">
      <alignment horizontal="left" vertical="top"/>
    </xf>
    <xf numFmtId="0" fontId="14" fillId="0" borderId="32" xfId="111" applyFont="1" applyFill="1" applyBorder="1" applyAlignment="1">
      <alignment horizontal="center" vertical="center" wrapText="1"/>
    </xf>
    <xf numFmtId="0" fontId="31" fillId="0" borderId="0" xfId="0" applyFont="1" applyBorder="1"/>
    <xf numFmtId="0" fontId="9" fillId="0" borderId="13" xfId="0" applyFont="1" applyBorder="1"/>
    <xf numFmtId="0" fontId="31" fillId="0" borderId="7" xfId="0" applyFont="1" applyFill="1" applyBorder="1" applyAlignment="1">
      <alignment horizontal="center"/>
    </xf>
    <xf numFmtId="0" fontId="31" fillId="0" borderId="14" xfId="0" applyFont="1" applyFill="1" applyBorder="1"/>
    <xf numFmtId="0" fontId="31" fillId="0" borderId="0" xfId="0" applyFont="1"/>
    <xf numFmtId="0" fontId="31" fillId="0" borderId="13" xfId="0" applyFont="1" applyFill="1" applyBorder="1"/>
    <xf numFmtId="0" fontId="31" fillId="0" borderId="17" xfId="0" applyFont="1" applyBorder="1" applyAlignment="1">
      <alignment horizontal="center"/>
    </xf>
    <xf numFmtId="3" fontId="31" fillId="0" borderId="1" xfId="0" applyNumberFormat="1" applyFont="1" applyBorder="1"/>
    <xf numFmtId="0" fontId="31" fillId="0" borderId="0" xfId="0" applyFont="1" applyBorder="1" applyAlignment="1">
      <alignment horizontal="center"/>
    </xf>
    <xf numFmtId="0" fontId="2" fillId="0" borderId="7" xfId="0" applyFont="1" applyBorder="1" applyAlignment="1">
      <alignment vertical="center" wrapText="1"/>
    </xf>
    <xf numFmtId="0" fontId="2" fillId="0" borderId="7" xfId="0" applyFont="1" applyBorder="1" applyAlignment="1">
      <alignment vertical="center"/>
    </xf>
    <xf numFmtId="173" fontId="0" fillId="0" borderId="7" xfId="1" applyNumberFormat="1" applyFont="1" applyBorder="1" applyAlignment="1">
      <alignment vertical="center"/>
    </xf>
    <xf numFmtId="0" fontId="2" fillId="0" borderId="0" xfId="0" applyFont="1" applyBorder="1" applyAlignment="1">
      <alignment vertical="center"/>
    </xf>
    <xf numFmtId="173" fontId="0" fillId="0" borderId="0" xfId="1" applyNumberFormat="1" applyFont="1" applyBorder="1" applyAlignment="1">
      <alignment vertical="center"/>
    </xf>
    <xf numFmtId="0" fontId="2" fillId="0" borderId="31" xfId="0" applyFont="1" applyBorder="1"/>
    <xf numFmtId="172" fontId="0" fillId="0" borderId="31" xfId="1" applyNumberFormat="1" applyFont="1" applyBorder="1"/>
    <xf numFmtId="0" fontId="0" fillId="0" borderId="31" xfId="0" applyBorder="1" applyAlignment="1">
      <alignment horizontal="center"/>
    </xf>
    <xf numFmtId="3" fontId="0" fillId="0" borderId="31" xfId="0" applyNumberFormat="1" applyBorder="1"/>
    <xf numFmtId="168" fontId="31" fillId="0" borderId="1" xfId="1" applyNumberFormat="1" applyFont="1" applyBorder="1" applyAlignment="1">
      <alignment horizontal="right"/>
    </xf>
    <xf numFmtId="0" fontId="13" fillId="6" borderId="19" xfId="0" applyFont="1" applyFill="1" applyBorder="1" applyAlignment="1">
      <alignment horizontal="justify" vertical="center" wrapText="1"/>
    </xf>
    <xf numFmtId="0" fontId="13" fillId="6" borderId="32" xfId="111" applyFont="1" applyFill="1" applyBorder="1" applyAlignment="1">
      <alignment horizontal="left" vertical="center" wrapText="1"/>
    </xf>
    <xf numFmtId="0" fontId="32" fillId="6" borderId="19" xfId="111" applyFont="1" applyFill="1" applyBorder="1" applyAlignment="1">
      <alignment horizontal="left" vertical="center" wrapText="1"/>
    </xf>
    <xf numFmtId="0" fontId="13" fillId="6" borderId="32" xfId="0" applyFont="1" applyFill="1" applyBorder="1" applyAlignment="1">
      <alignment horizontal="justify" vertical="center" wrapText="1"/>
    </xf>
    <xf numFmtId="0" fontId="14" fillId="0" borderId="32" xfId="0" applyFont="1" applyFill="1" applyBorder="1" applyAlignment="1">
      <alignment horizontal="center" vertical="center"/>
    </xf>
    <xf numFmtId="9" fontId="0" fillId="0" borderId="0" xfId="110" applyNumberFormat="1" applyFont="1" applyBorder="1"/>
    <xf numFmtId="9" fontId="11" fillId="0" borderId="15" xfId="96" applyNumberFormat="1" applyFont="1" applyFill="1" applyBorder="1"/>
    <xf numFmtId="170" fontId="0" fillId="0" borderId="0" xfId="0" applyNumberFormat="1" applyFill="1" applyBorder="1"/>
    <xf numFmtId="0" fontId="6" fillId="0" borderId="0" xfId="111" applyFont="1" applyFill="1" applyBorder="1" applyAlignment="1">
      <alignment vertical="center" wrapText="1"/>
    </xf>
    <xf numFmtId="0" fontId="31" fillId="0" borderId="0" xfId="0" applyFont="1" applyBorder="1" applyAlignment="1">
      <alignment horizontal="center" vertical="center"/>
    </xf>
    <xf numFmtId="0" fontId="0" fillId="0" borderId="0" xfId="0" applyBorder="1" applyAlignment="1">
      <alignment horizontal="center" vertical="center"/>
    </xf>
    <xf numFmtId="0" fontId="15" fillId="0" borderId="0" xfId="111" applyFont="1" applyFill="1" applyAlignment="1">
      <alignment horizontal="center" vertical="justify"/>
    </xf>
    <xf numFmtId="0" fontId="0" fillId="0" borderId="0" xfId="0" applyAlignment="1">
      <alignment vertical="center"/>
    </xf>
    <xf numFmtId="0" fontId="13" fillId="6" borderId="33" xfId="111" applyFont="1" applyFill="1" applyBorder="1" applyAlignment="1">
      <alignment horizontal="left" vertical="top" wrapText="1"/>
    </xf>
    <xf numFmtId="0" fontId="14" fillId="0" borderId="35" xfId="111" applyFont="1" applyFill="1" applyBorder="1" applyAlignment="1">
      <alignment horizontal="center" vertical="center" wrapText="1"/>
    </xf>
    <xf numFmtId="0" fontId="13" fillId="6" borderId="35" xfId="111" applyFont="1" applyFill="1" applyBorder="1" applyAlignment="1">
      <alignment horizontal="left" vertical="top" wrapText="1"/>
    </xf>
    <xf numFmtId="0" fontId="0" fillId="0" borderId="0" xfId="0" applyBorder="1" applyAlignment="1">
      <alignment vertical="center"/>
    </xf>
    <xf numFmtId="0" fontId="0" fillId="0" borderId="17" xfId="0" applyBorder="1" applyAlignment="1">
      <alignment horizontal="center" vertical="center"/>
    </xf>
    <xf numFmtId="3" fontId="0" fillId="0" borderId="17" xfId="0" applyNumberFormat="1" applyBorder="1" applyAlignment="1">
      <alignment vertical="center"/>
    </xf>
    <xf numFmtId="9" fontId="0" fillId="0" borderId="1" xfId="96" applyFont="1" applyBorder="1" applyAlignment="1">
      <alignment vertical="center"/>
    </xf>
    <xf numFmtId="0" fontId="13" fillId="6" borderId="19" xfId="111" applyFont="1" applyFill="1" applyBorder="1" applyAlignment="1">
      <alignment horizontal="justify" vertical="top" wrapText="1"/>
    </xf>
    <xf numFmtId="0" fontId="13" fillId="6" borderId="38" xfId="111" applyFont="1" applyFill="1" applyBorder="1" applyAlignment="1">
      <alignment horizontal="justify" vertical="top" wrapText="1"/>
    </xf>
    <xf numFmtId="0" fontId="14" fillId="0" borderId="38" xfId="111" applyFont="1" applyFill="1" applyBorder="1" applyAlignment="1">
      <alignment horizontal="center" vertical="center" wrapText="1"/>
    </xf>
    <xf numFmtId="0" fontId="14" fillId="0" borderId="38" xfId="0" applyFont="1" applyFill="1" applyBorder="1" applyAlignment="1">
      <alignment horizontal="center" vertical="center"/>
    </xf>
    <xf numFmtId="0" fontId="13" fillId="4" borderId="20" xfId="111" applyFont="1" applyFill="1" applyBorder="1" applyAlignment="1">
      <alignment horizontal="left" vertical="top" wrapText="1"/>
    </xf>
    <xf numFmtId="0" fontId="13" fillId="4" borderId="38" xfId="111" applyFont="1" applyFill="1" applyBorder="1" applyAlignment="1">
      <alignment horizontal="left" vertical="top" wrapText="1"/>
    </xf>
    <xf numFmtId="0" fontId="14" fillId="0" borderId="36" xfId="111" applyFont="1" applyFill="1" applyBorder="1" applyAlignment="1">
      <alignment horizontal="center" vertical="center" wrapText="1"/>
    </xf>
    <xf numFmtId="0" fontId="13" fillId="4" borderId="12" xfId="111" applyFont="1" applyFill="1" applyBorder="1" applyAlignment="1">
      <alignment horizontal="left" vertical="top" wrapText="1"/>
    </xf>
    <xf numFmtId="0" fontId="15" fillId="8" borderId="38" xfId="111" applyFont="1" applyFill="1" applyBorder="1" applyAlignment="1">
      <alignment horizontal="center" vertical="justify"/>
    </xf>
    <xf numFmtId="0" fontId="14" fillId="8" borderId="38" xfId="111" applyFont="1" applyFill="1" applyBorder="1" applyAlignment="1">
      <alignment horizontal="center" vertical="center" wrapText="1"/>
    </xf>
    <xf numFmtId="0" fontId="15" fillId="8" borderId="38" xfId="111" applyFont="1" applyFill="1" applyBorder="1" applyAlignment="1">
      <alignment vertical="justify"/>
    </xf>
    <xf numFmtId="0" fontId="16" fillId="8" borderId="38" xfId="111" applyFont="1" applyFill="1" applyBorder="1" applyAlignment="1">
      <alignment vertical="justify"/>
    </xf>
    <xf numFmtId="181" fontId="14" fillId="3" borderId="12" xfId="111" applyNumberFormat="1" applyFont="1" applyFill="1" applyBorder="1" applyAlignment="1">
      <alignment horizontal="center" vertical="center"/>
    </xf>
    <xf numFmtId="0" fontId="14" fillId="5" borderId="19" xfId="111" applyFont="1" applyFill="1" applyBorder="1" applyAlignment="1">
      <alignment horizontal="center" vertical="center" wrapText="1"/>
    </xf>
    <xf numFmtId="0" fontId="38" fillId="5" borderId="19" xfId="111" applyFont="1" applyFill="1" applyBorder="1" applyAlignment="1">
      <alignment horizontal="center" vertical="justify"/>
    </xf>
    <xf numFmtId="0" fontId="39" fillId="0" borderId="19" xfId="111" applyFont="1" applyFill="1" applyBorder="1" applyAlignment="1">
      <alignment horizontal="center" vertical="center" wrapText="1"/>
    </xf>
    <xf numFmtId="0" fontId="13" fillId="5" borderId="19" xfId="111" applyFont="1" applyFill="1" applyBorder="1" applyAlignment="1">
      <alignment horizontal="center" vertical="center" wrapText="1"/>
    </xf>
    <xf numFmtId="168" fontId="12" fillId="3" borderId="19" xfId="112" applyNumberFormat="1" applyFont="1" applyFill="1" applyBorder="1" applyAlignment="1">
      <alignment horizontal="center" vertical="center" wrapText="1"/>
    </xf>
    <xf numFmtId="168" fontId="12" fillId="3" borderId="35" xfId="112" applyNumberFormat="1" applyFont="1" applyFill="1" applyBorder="1" applyAlignment="1">
      <alignment horizontal="center" vertical="center" wrapText="1"/>
    </xf>
    <xf numFmtId="168" fontId="13" fillId="3" borderId="35" xfId="112" applyNumberFormat="1" applyFont="1" applyFill="1" applyBorder="1" applyAlignment="1">
      <alignment horizontal="center" vertical="center" wrapText="1"/>
    </xf>
    <xf numFmtId="0" fontId="40" fillId="5" borderId="19" xfId="111" applyFont="1" applyFill="1" applyBorder="1" applyAlignment="1">
      <alignment horizontal="center" vertical="justify"/>
    </xf>
    <xf numFmtId="168" fontId="13" fillId="3" borderId="32" xfId="112" applyNumberFormat="1" applyFont="1" applyFill="1" applyBorder="1" applyAlignment="1">
      <alignment horizontal="center" vertical="top" wrapText="1"/>
    </xf>
    <xf numFmtId="9" fontId="12" fillId="3" borderId="19" xfId="96" applyFont="1" applyFill="1" applyBorder="1" applyAlignment="1">
      <alignment horizontal="center" vertical="center"/>
    </xf>
    <xf numFmtId="170" fontId="12" fillId="0" borderId="19" xfId="111" applyNumberFormat="1" applyFont="1" applyFill="1" applyBorder="1" applyAlignment="1">
      <alignment horizontal="center" vertical="center" wrapText="1"/>
    </xf>
    <xf numFmtId="0" fontId="13" fillId="3" borderId="38" xfId="111" applyFont="1" applyFill="1" applyBorder="1" applyAlignment="1">
      <alignment horizontal="center" vertical="center" wrapText="1"/>
    </xf>
    <xf numFmtId="0" fontId="13" fillId="3" borderId="38" xfId="111" applyFont="1" applyFill="1" applyBorder="1" applyAlignment="1">
      <alignment horizontal="center" vertical="top" wrapText="1"/>
    </xf>
    <xf numFmtId="0" fontId="13" fillId="3" borderId="32" xfId="111" applyFont="1" applyFill="1" applyBorder="1" applyAlignment="1">
      <alignment horizontal="center" vertical="center" wrapText="1"/>
    </xf>
    <xf numFmtId="0" fontId="13" fillId="8" borderId="38" xfId="111" applyFont="1" applyFill="1" applyBorder="1" applyAlignment="1">
      <alignment vertical="justify"/>
    </xf>
    <xf numFmtId="0" fontId="13" fillId="3" borderId="20" xfId="111" applyFont="1" applyFill="1" applyBorder="1" applyAlignment="1">
      <alignment horizontal="center" vertical="center" wrapText="1"/>
    </xf>
    <xf numFmtId="0" fontId="13" fillId="3" borderId="36" xfId="111" applyFont="1" applyFill="1" applyBorder="1" applyAlignment="1">
      <alignment horizontal="center" vertical="center" wrapText="1"/>
    </xf>
    <xf numFmtId="0" fontId="42" fillId="3" borderId="38" xfId="111" applyFont="1" applyFill="1" applyBorder="1" applyAlignment="1">
      <alignment horizontal="center" vertical="top" wrapText="1"/>
    </xf>
    <xf numFmtId="168" fontId="13" fillId="3" borderId="32" xfId="0" applyNumberFormat="1" applyFont="1" applyFill="1" applyBorder="1" applyAlignment="1">
      <alignment horizontal="center" vertical="center" wrapText="1"/>
    </xf>
    <xf numFmtId="0" fontId="2" fillId="0" borderId="37" xfId="0" applyFont="1" applyBorder="1" applyAlignment="1">
      <alignment wrapText="1"/>
    </xf>
    <xf numFmtId="0" fontId="2" fillId="0" borderId="8" xfId="0" applyFont="1" applyBorder="1" applyAlignment="1">
      <alignment wrapText="1"/>
    </xf>
    <xf numFmtId="41" fontId="0" fillId="0" borderId="0" xfId="126" applyFont="1" applyBorder="1" applyAlignment="1">
      <alignment horizont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9"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176" fontId="8" fillId="0" borderId="41" xfId="95" applyNumberFormat="1" applyFont="1" applyFill="1" applyBorder="1" applyAlignment="1">
      <alignment vertical="center"/>
    </xf>
    <xf numFmtId="0" fontId="43" fillId="9" borderId="34" xfId="0" applyFont="1" applyFill="1" applyBorder="1" applyAlignment="1">
      <alignment horizontal="center" vertical="center"/>
    </xf>
    <xf numFmtId="0" fontId="43" fillId="9" borderId="34" xfId="0" applyFont="1" applyFill="1" applyBorder="1" applyAlignment="1">
      <alignment vertical="center" wrapText="1"/>
    </xf>
    <xf numFmtId="0" fontId="43" fillId="9" borderId="34" xfId="0" applyFont="1" applyFill="1" applyBorder="1" applyAlignment="1">
      <alignment horizontal="right" vertical="center" wrapText="1"/>
    </xf>
    <xf numFmtId="0" fontId="43" fillId="10" borderId="34" xfId="0" applyFont="1" applyFill="1" applyBorder="1" applyAlignment="1">
      <alignment horizontal="center" vertical="center"/>
    </xf>
    <xf numFmtId="0" fontId="43" fillId="10" borderId="34" xfId="0" applyFont="1" applyFill="1" applyBorder="1" applyAlignment="1">
      <alignment vertical="center"/>
    </xf>
    <xf numFmtId="0" fontId="43" fillId="10" borderId="34" xfId="0" applyFont="1" applyFill="1" applyBorder="1" applyAlignment="1">
      <alignment horizontal="right" vertical="center"/>
    </xf>
    <xf numFmtId="0" fontId="44" fillId="0" borderId="34" xfId="0" applyFont="1" applyBorder="1" applyAlignment="1">
      <alignment horizontal="center" vertical="center"/>
    </xf>
    <xf numFmtId="0" fontId="44" fillId="0" borderId="34" xfId="0" applyFont="1" applyBorder="1" applyAlignment="1">
      <alignment horizontal="justify" vertical="center" wrapText="1"/>
    </xf>
    <xf numFmtId="2" fontId="44" fillId="0" borderId="34" xfId="0" applyNumberFormat="1" applyFont="1" applyBorder="1" applyAlignment="1">
      <alignment horizontal="center" vertical="center" wrapText="1"/>
    </xf>
    <xf numFmtId="182" fontId="44" fillId="0" borderId="34" xfId="0" applyNumberFormat="1" applyFont="1" applyBorder="1" applyAlignment="1">
      <alignment horizontal="right" vertical="center" wrapText="1"/>
    </xf>
    <xf numFmtId="0" fontId="43" fillId="10" borderId="34" xfId="0" applyFont="1" applyFill="1" applyBorder="1" applyAlignment="1">
      <alignment vertical="center" wrapText="1"/>
    </xf>
    <xf numFmtId="2" fontId="43" fillId="10" borderId="34" xfId="0" applyNumberFormat="1" applyFont="1" applyFill="1" applyBorder="1" applyAlignment="1">
      <alignment horizontal="center" vertical="center" wrapText="1"/>
    </xf>
    <xf numFmtId="0" fontId="43" fillId="10" borderId="34" xfId="0" applyFont="1" applyFill="1" applyBorder="1" applyAlignment="1">
      <alignment horizontal="right" vertical="center" wrapText="1"/>
    </xf>
    <xf numFmtId="0" fontId="43" fillId="10" borderId="34" xfId="0" applyFont="1" applyFill="1" applyBorder="1" applyAlignment="1">
      <alignment horizontal="justify" vertical="center"/>
    </xf>
    <xf numFmtId="0" fontId="45" fillId="10" borderId="34" xfId="0" applyFont="1" applyFill="1" applyBorder="1" applyAlignment="1">
      <alignment horizontal="center" vertical="center"/>
    </xf>
    <xf numFmtId="2" fontId="45" fillId="10" borderId="34" xfId="0" applyNumberFormat="1" applyFont="1" applyFill="1" applyBorder="1" applyAlignment="1">
      <alignment horizontal="center" vertical="center" wrapText="1"/>
    </xf>
    <xf numFmtId="0" fontId="45" fillId="10" borderId="34" xfId="0" applyFont="1" applyFill="1" applyBorder="1" applyAlignment="1">
      <alignment horizontal="right" vertical="center" wrapText="1"/>
    </xf>
    <xf numFmtId="0" fontId="44" fillId="0" borderId="34" xfId="0" applyFont="1" applyBorder="1" applyAlignment="1">
      <alignment horizontal="center" vertical="center" wrapText="1"/>
    </xf>
    <xf numFmtId="0" fontId="43" fillId="10" borderId="34" xfId="0" applyFont="1" applyFill="1" applyBorder="1" applyAlignment="1">
      <alignment horizontal="justify" vertical="center" wrapText="1"/>
    </xf>
    <xf numFmtId="2" fontId="43" fillId="10" borderId="34" xfId="0" applyNumberFormat="1" applyFont="1" applyFill="1" applyBorder="1" applyAlignment="1">
      <alignment vertical="center" wrapText="1"/>
    </xf>
    <xf numFmtId="0" fontId="43" fillId="11" borderId="34" xfId="0" applyFont="1" applyFill="1" applyBorder="1" applyAlignment="1">
      <alignment horizontal="center" vertical="center"/>
    </xf>
    <xf numFmtId="0" fontId="43" fillId="11" borderId="34" xfId="0" applyFont="1" applyFill="1" applyBorder="1" applyAlignment="1">
      <alignment horizontal="justify" vertical="center" wrapText="1"/>
    </xf>
    <xf numFmtId="0" fontId="45" fillId="11" borderId="34" xfId="0" applyFont="1" applyFill="1" applyBorder="1" applyAlignment="1">
      <alignment vertical="center"/>
    </xf>
    <xf numFmtId="2" fontId="45" fillId="11" borderId="34" xfId="0" applyNumberFormat="1" applyFont="1" applyFill="1" applyBorder="1" applyAlignment="1">
      <alignment vertical="center"/>
    </xf>
    <xf numFmtId="0" fontId="45" fillId="11" borderId="34" xfId="0" applyFont="1" applyFill="1" applyBorder="1" applyAlignment="1">
      <alignment horizontal="right" vertical="center"/>
    </xf>
    <xf numFmtId="0" fontId="43" fillId="12" borderId="34" xfId="0" applyFont="1" applyFill="1" applyBorder="1" applyAlignment="1">
      <alignment horizontal="center" vertical="center"/>
    </xf>
    <xf numFmtId="0" fontId="43" fillId="12" borderId="34" xfId="0" applyFont="1" applyFill="1" applyBorder="1" applyAlignment="1">
      <alignment horizontal="justify" vertical="center" wrapText="1"/>
    </xf>
    <xf numFmtId="0" fontId="45" fillId="12" borderId="34" xfId="0" applyFont="1" applyFill="1" applyBorder="1" applyAlignment="1">
      <alignment vertical="center"/>
    </xf>
    <xf numFmtId="2" fontId="45" fillId="12" borderId="34" xfId="0" applyNumberFormat="1" applyFont="1" applyFill="1" applyBorder="1" applyAlignment="1">
      <alignment vertical="center"/>
    </xf>
    <xf numFmtId="0" fontId="45" fillId="12" borderId="34" xfId="0" applyFont="1" applyFill="1" applyBorder="1" applyAlignment="1">
      <alignment horizontal="right" vertical="center"/>
    </xf>
    <xf numFmtId="0" fontId="45" fillId="0" borderId="34" xfId="0" applyFont="1" applyBorder="1" applyAlignment="1">
      <alignment horizontal="center" vertical="center"/>
    </xf>
    <xf numFmtId="0" fontId="43" fillId="12" borderId="34" xfId="0" applyFont="1" applyFill="1" applyBorder="1" applyAlignment="1">
      <alignment vertical="center"/>
    </xf>
    <xf numFmtId="2" fontId="43" fillId="12" borderId="34" xfId="0" applyNumberFormat="1" applyFont="1" applyFill="1" applyBorder="1" applyAlignment="1">
      <alignment vertical="center"/>
    </xf>
    <xf numFmtId="0" fontId="43" fillId="12" borderId="34" xfId="0" applyFont="1" applyFill="1" applyBorder="1" applyAlignment="1">
      <alignment horizontal="right" vertical="center"/>
    </xf>
    <xf numFmtId="0" fontId="43" fillId="13" borderId="34" xfId="0" applyFont="1" applyFill="1" applyBorder="1" applyAlignment="1">
      <alignment horizontal="center" vertical="center"/>
    </xf>
    <xf numFmtId="0" fontId="43" fillId="13" borderId="34" xfId="0" applyFont="1" applyFill="1" applyBorder="1" applyAlignment="1">
      <alignment horizontal="justify" vertical="center" wrapText="1"/>
    </xf>
    <xf numFmtId="0" fontId="43" fillId="13" borderId="34" xfId="0" applyFont="1" applyFill="1" applyBorder="1" applyAlignment="1">
      <alignment vertical="center"/>
    </xf>
    <xf numFmtId="2" fontId="43" fillId="13" borderId="34" xfId="0" applyNumberFormat="1" applyFont="1" applyFill="1" applyBorder="1" applyAlignment="1">
      <alignment vertical="center"/>
    </xf>
    <xf numFmtId="0" fontId="43" fillId="13" borderId="34" xfId="0" applyFont="1" applyFill="1" applyBorder="1" applyAlignment="1">
      <alignment horizontal="right" vertical="center"/>
    </xf>
    <xf numFmtId="0" fontId="43" fillId="14" borderId="34" xfId="0" applyFont="1" applyFill="1" applyBorder="1" applyAlignment="1">
      <alignment horizontal="center" vertical="center"/>
    </xf>
    <xf numFmtId="0" fontId="43" fillId="14" borderId="34" xfId="0" applyFont="1" applyFill="1" applyBorder="1" applyAlignment="1">
      <alignment horizontal="justify" vertical="center" wrapText="1"/>
    </xf>
    <xf numFmtId="0" fontId="45" fillId="14" borderId="34" xfId="0" applyFont="1" applyFill="1" applyBorder="1" applyAlignment="1">
      <alignment horizontal="center" vertical="center"/>
    </xf>
    <xf numFmtId="2" fontId="45" fillId="14" borderId="34" xfId="0" applyNumberFormat="1" applyFont="1" applyFill="1" applyBorder="1" applyAlignment="1">
      <alignment vertical="center" wrapText="1"/>
    </xf>
    <xf numFmtId="0" fontId="45" fillId="14" borderId="34" xfId="0" applyFont="1" applyFill="1" applyBorder="1" applyAlignment="1">
      <alignment horizontal="right" vertical="center" wrapText="1"/>
    </xf>
    <xf numFmtId="0" fontId="43" fillId="14" borderId="34" xfId="0" applyFont="1" applyFill="1" applyBorder="1" applyAlignment="1">
      <alignment horizontal="justify" vertical="center"/>
    </xf>
    <xf numFmtId="2" fontId="43" fillId="14" borderId="34" xfId="0" applyNumberFormat="1" applyFont="1" applyFill="1" applyBorder="1" applyAlignment="1">
      <alignment horizontal="center" vertical="center" wrapText="1"/>
    </xf>
    <xf numFmtId="0" fontId="43" fillId="14" borderId="34" xfId="0" applyFont="1" applyFill="1" applyBorder="1" applyAlignment="1">
      <alignment horizontal="right" vertical="center" wrapText="1"/>
    </xf>
    <xf numFmtId="2" fontId="45" fillId="14" borderId="34" xfId="0" applyNumberFormat="1" applyFont="1" applyFill="1" applyBorder="1" applyAlignment="1">
      <alignment horizontal="center" vertical="center" wrapText="1"/>
    </xf>
    <xf numFmtId="2" fontId="43" fillId="14" borderId="34" xfId="0" applyNumberFormat="1" applyFont="1" applyFill="1" applyBorder="1" applyAlignment="1">
      <alignment horizontal="center" vertical="center"/>
    </xf>
    <xf numFmtId="0" fontId="43" fillId="14" borderId="34" xfId="0" applyFont="1" applyFill="1" applyBorder="1" applyAlignment="1">
      <alignment horizontal="right" vertical="center"/>
    </xf>
    <xf numFmtId="0" fontId="43" fillId="15" borderId="34" xfId="0" applyFont="1" applyFill="1" applyBorder="1" applyAlignment="1">
      <alignment horizontal="center" vertical="center"/>
    </xf>
    <xf numFmtId="0" fontId="43" fillId="15" borderId="34" xfId="0" applyFont="1" applyFill="1" applyBorder="1" applyAlignment="1">
      <alignment horizontal="justify" vertical="center"/>
    </xf>
    <xf numFmtId="2" fontId="45" fillId="15" borderId="34" xfId="0" applyNumberFormat="1" applyFont="1" applyFill="1" applyBorder="1" applyAlignment="1">
      <alignment horizontal="center" vertical="center" wrapText="1"/>
    </xf>
    <xf numFmtId="0" fontId="43" fillId="15" borderId="34" xfId="0" applyFont="1" applyFill="1" applyBorder="1" applyAlignment="1">
      <alignment horizontal="right" vertical="center"/>
    </xf>
    <xf numFmtId="0" fontId="43" fillId="16" borderId="34" xfId="0" applyFont="1" applyFill="1" applyBorder="1" applyAlignment="1">
      <alignment horizontal="center" vertical="center"/>
    </xf>
    <xf numFmtId="0" fontId="43" fillId="16" borderId="34" xfId="0" applyFont="1" applyFill="1" applyBorder="1" applyAlignment="1">
      <alignment horizontal="justify" vertical="center"/>
    </xf>
    <xf numFmtId="2" fontId="45" fillId="16" borderId="34" xfId="0" applyNumberFormat="1" applyFont="1" applyFill="1" applyBorder="1" applyAlignment="1">
      <alignment horizontal="center" vertical="center" wrapText="1"/>
    </xf>
    <xf numFmtId="0" fontId="43" fillId="16" borderId="34" xfId="0" applyFont="1" applyFill="1" applyBorder="1" applyAlignment="1">
      <alignment horizontal="right" vertical="center"/>
    </xf>
    <xf numFmtId="0" fontId="45" fillId="16" borderId="34" xfId="0" applyFont="1" applyFill="1" applyBorder="1" applyAlignment="1">
      <alignment horizontal="center" vertical="center"/>
    </xf>
    <xf numFmtId="0" fontId="43" fillId="16" borderId="34" xfId="0" applyFont="1" applyFill="1" applyBorder="1" applyAlignment="1">
      <alignment horizontal="justify" vertical="center" wrapText="1"/>
    </xf>
    <xf numFmtId="2" fontId="45" fillId="16" borderId="34" xfId="0" applyNumberFormat="1" applyFont="1" applyFill="1" applyBorder="1" applyAlignment="1">
      <alignment horizontal="center" vertical="center"/>
    </xf>
    <xf numFmtId="0" fontId="45" fillId="16" borderId="34" xfId="0" applyFont="1" applyFill="1" applyBorder="1" applyAlignment="1">
      <alignment horizontal="right" vertical="center"/>
    </xf>
    <xf numFmtId="2" fontId="43" fillId="16" borderId="34" xfId="0" applyNumberFormat="1" applyFont="1" applyFill="1" applyBorder="1" applyAlignment="1">
      <alignment horizontal="center" vertical="center" wrapText="1"/>
    </xf>
    <xf numFmtId="0" fontId="44" fillId="0" borderId="34" xfId="0" applyFont="1" applyFill="1" applyBorder="1" applyAlignment="1">
      <alignment horizontal="center" vertical="center"/>
    </xf>
    <xf numFmtId="0" fontId="44" fillId="0" borderId="34" xfId="0" applyFont="1" applyFill="1" applyBorder="1" applyAlignment="1">
      <alignment horizontal="justify" vertical="center" wrapText="1"/>
    </xf>
    <xf numFmtId="2" fontId="43" fillId="16" borderId="34" xfId="0" applyNumberFormat="1" applyFont="1" applyFill="1" applyBorder="1" applyAlignment="1">
      <alignment horizontal="center" vertical="center"/>
    </xf>
    <xf numFmtId="0" fontId="43" fillId="17" borderId="34" xfId="0" applyFont="1" applyFill="1" applyBorder="1" applyAlignment="1">
      <alignment horizontal="center" vertical="center"/>
    </xf>
    <xf numFmtId="0" fontId="43" fillId="17" borderId="34" xfId="0" applyFont="1" applyFill="1" applyBorder="1" applyAlignment="1">
      <alignment horizontal="justify" vertical="center" wrapText="1"/>
    </xf>
    <xf numFmtId="2" fontId="45" fillId="17" borderId="34" xfId="0" applyNumberFormat="1" applyFont="1" applyFill="1" applyBorder="1" applyAlignment="1">
      <alignment horizontal="center" vertical="center" wrapText="1"/>
    </xf>
    <xf numFmtId="0" fontId="43" fillId="17" borderId="34" xfId="0" applyFont="1" applyFill="1" applyBorder="1" applyAlignment="1">
      <alignment horizontal="right" vertical="center"/>
    </xf>
    <xf numFmtId="0" fontId="43" fillId="18" borderId="34" xfId="0" applyFont="1" applyFill="1" applyBorder="1" applyAlignment="1">
      <alignment horizontal="center" vertical="center"/>
    </xf>
    <xf numFmtId="0" fontId="43" fillId="18" borderId="34" xfId="0" applyFont="1" applyFill="1" applyBorder="1" applyAlignment="1">
      <alignment horizontal="justify" vertical="center" wrapText="1"/>
    </xf>
    <xf numFmtId="2" fontId="45" fillId="18" borderId="34" xfId="0" applyNumberFormat="1" applyFont="1" applyFill="1" applyBorder="1" applyAlignment="1">
      <alignment horizontal="center" vertical="center" wrapText="1"/>
    </xf>
    <xf numFmtId="0" fontId="43" fillId="18" borderId="34" xfId="0" applyFont="1" applyFill="1" applyBorder="1" applyAlignment="1">
      <alignment horizontal="right" vertical="center"/>
    </xf>
    <xf numFmtId="0" fontId="45" fillId="18" borderId="34" xfId="0" applyFont="1" applyFill="1" applyBorder="1" applyAlignment="1">
      <alignment horizontal="center" vertical="center" wrapText="1"/>
    </xf>
    <xf numFmtId="180" fontId="9" fillId="0" borderId="23" xfId="96" applyNumberFormat="1" applyFont="1" applyFill="1" applyBorder="1" applyAlignment="1">
      <alignment horizontal="center" vertical="center"/>
    </xf>
    <xf numFmtId="180" fontId="8" fillId="0" borderId="17" xfId="96" applyNumberFormat="1" applyFont="1" applyFill="1" applyBorder="1" applyAlignment="1">
      <alignment horizontal="center" vertical="center"/>
    </xf>
    <xf numFmtId="0" fontId="15" fillId="0" borderId="18" xfId="111" applyFont="1" applyFill="1" applyBorder="1" applyAlignment="1">
      <alignment horizontal="center" vertical="center"/>
    </xf>
    <xf numFmtId="0" fontId="0" fillId="0" borderId="0" xfId="0" applyAlignment="1">
      <alignment horizontal="center" vertical="center"/>
    </xf>
    <xf numFmtId="0" fontId="0" fillId="0" borderId="42" xfId="0" applyBorder="1"/>
    <xf numFmtId="0" fontId="0" fillId="0" borderId="42" xfId="0" applyBorder="1" applyAlignment="1">
      <alignment horizontal="center" vertical="center"/>
    </xf>
    <xf numFmtId="0" fontId="31" fillId="0" borderId="42" xfId="0" applyFont="1" applyBorder="1" applyAlignment="1">
      <alignment horizontal="center" wrapText="1"/>
    </xf>
    <xf numFmtId="0" fontId="31" fillId="0" borderId="42" xfId="0" applyFont="1" applyBorder="1" applyAlignment="1">
      <alignment vertical="center"/>
    </xf>
    <xf numFmtId="0" fontId="13" fillId="6" borderId="43" xfId="0" applyFont="1" applyFill="1" applyBorder="1" applyAlignment="1">
      <alignment horizontal="justify" vertical="center" wrapText="1"/>
    </xf>
    <xf numFmtId="0" fontId="14" fillId="0" borderId="43" xfId="0" applyFont="1" applyFill="1" applyBorder="1" applyAlignment="1">
      <alignment horizontal="center" vertical="center"/>
    </xf>
    <xf numFmtId="0" fontId="14" fillId="0" borderId="43" xfId="111" applyFont="1" applyFill="1" applyBorder="1" applyAlignment="1">
      <alignment horizontal="center" vertical="center" wrapText="1"/>
    </xf>
    <xf numFmtId="0" fontId="13" fillId="3" borderId="43" xfId="111" applyFont="1" applyFill="1" applyBorder="1" applyAlignment="1">
      <alignment horizontal="center" vertical="center" wrapText="1"/>
    </xf>
    <xf numFmtId="0" fontId="35" fillId="0" borderId="10" xfId="0" applyFont="1" applyBorder="1" applyAlignment="1">
      <alignment horizontal="center" vertical="center" textRotation="90" wrapText="1"/>
    </xf>
    <xf numFmtId="0" fontId="13" fillId="3" borderId="43" xfId="111" applyFont="1" applyFill="1" applyBorder="1" applyAlignment="1">
      <alignment horizontal="center" vertical="top" wrapText="1"/>
    </xf>
    <xf numFmtId="0" fontId="36" fillId="4" borderId="12" xfId="0" applyFont="1" applyFill="1" applyBorder="1" applyAlignment="1">
      <alignment horizontal="center" vertical="center" wrapText="1"/>
    </xf>
    <xf numFmtId="0" fontId="14" fillId="0" borderId="11" xfId="111" applyFont="1" applyFill="1" applyBorder="1" applyAlignment="1">
      <alignment horizontal="center" vertical="center" wrapText="1"/>
    </xf>
    <xf numFmtId="0" fontId="13" fillId="3" borderId="19" xfId="111" applyFont="1" applyFill="1" applyBorder="1" applyAlignment="1">
      <alignment horizontal="center" vertical="top" wrapText="1"/>
    </xf>
    <xf numFmtId="0" fontId="2" fillId="0" borderId="8" xfId="0" applyFont="1" applyFill="1" applyBorder="1" applyAlignment="1">
      <alignment horizontal="center"/>
    </xf>
    <xf numFmtId="0" fontId="40" fillId="3" borderId="38" xfId="111" applyFont="1" applyFill="1" applyBorder="1" applyAlignment="1">
      <alignment horizontal="center" vertical="center" wrapText="1"/>
    </xf>
    <xf numFmtId="0" fontId="14" fillId="2" borderId="19" xfId="111" applyFont="1" applyFill="1" applyBorder="1" applyAlignment="1">
      <alignment horizontal="center" vertical="center"/>
    </xf>
    <xf numFmtId="0" fontId="15" fillId="2" borderId="19" xfId="111" applyFont="1" applyFill="1" applyBorder="1" applyAlignment="1">
      <alignment horizontal="center" vertical="center" wrapText="1"/>
    </xf>
    <xf numFmtId="0" fontId="14" fillId="3" borderId="4" xfId="111" applyFont="1" applyFill="1" applyBorder="1" applyAlignment="1">
      <alignment horizontal="center" vertical="center"/>
    </xf>
    <xf numFmtId="0" fontId="14" fillId="3" borderId="6" xfId="111" applyFont="1" applyFill="1" applyBorder="1" applyAlignment="1">
      <alignment horizontal="center" vertical="center"/>
    </xf>
    <xf numFmtId="0" fontId="14" fillId="0" borderId="4" xfId="111" applyFont="1" applyFill="1" applyBorder="1" applyAlignment="1">
      <alignment horizontal="center" vertical="center"/>
    </xf>
    <xf numFmtId="0" fontId="14" fillId="0" borderId="5" xfId="111" applyFont="1" applyFill="1" applyBorder="1" applyAlignment="1">
      <alignment horizontal="center" vertical="center"/>
    </xf>
    <xf numFmtId="0" fontId="34" fillId="0" borderId="36" xfId="111" applyFont="1" applyFill="1" applyBorder="1" applyAlignment="1">
      <alignment horizontal="center" vertical="center" textRotation="90"/>
    </xf>
    <xf numFmtId="0" fontId="34" fillId="0" borderId="16" xfId="111" applyFont="1" applyFill="1" applyBorder="1" applyAlignment="1">
      <alignment horizontal="center" vertical="center" textRotation="90"/>
    </xf>
    <xf numFmtId="0" fontId="34" fillId="0" borderId="10" xfId="111" applyFont="1" applyFill="1" applyBorder="1" applyAlignment="1">
      <alignment horizontal="center" vertical="center" textRotation="90"/>
    </xf>
    <xf numFmtId="0" fontId="13" fillId="6" borderId="44" xfId="111" applyFont="1" applyFill="1" applyBorder="1" applyAlignment="1">
      <alignment vertical="center" wrapText="1"/>
    </xf>
    <xf numFmtId="0" fontId="13" fillId="6" borderId="10" xfId="111" applyFont="1" applyFill="1" applyBorder="1" applyAlignment="1">
      <alignment vertical="center" wrapText="1"/>
    </xf>
    <xf numFmtId="0" fontId="6" fillId="0" borderId="0" xfId="111" applyFont="1" applyFill="1" applyBorder="1" applyAlignment="1">
      <alignment vertical="center" wrapText="1"/>
    </xf>
    <xf numFmtId="0" fontId="15" fillId="0" borderId="18" xfId="111" applyFont="1" applyFill="1" applyBorder="1" applyAlignment="1">
      <alignment horizontal="center" vertical="center"/>
    </xf>
    <xf numFmtId="0" fontId="15" fillId="0" borderId="16" xfId="111" applyFont="1" applyFill="1" applyBorder="1" applyAlignment="1">
      <alignment horizontal="center" vertical="center"/>
    </xf>
    <xf numFmtId="0" fontId="15" fillId="0" borderId="10" xfId="111" applyFont="1" applyFill="1" applyBorder="1" applyAlignment="1">
      <alignment horizontal="center" vertical="center"/>
    </xf>
    <xf numFmtId="0" fontId="2" fillId="0" borderId="0" xfId="111" applyFont="1" applyFill="1" applyAlignment="1">
      <alignment vertical="center"/>
    </xf>
    <xf numFmtId="0" fontId="6" fillId="0" borderId="0" xfId="111" applyFont="1" applyFill="1" applyAlignment="1">
      <alignment vertical="center"/>
    </xf>
    <xf numFmtId="0" fontId="17" fillId="0" borderId="8"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xf numFmtId="0" fontId="9" fillId="0" borderId="2" xfId="0" applyFont="1" applyBorder="1"/>
    <xf numFmtId="0" fontId="2" fillId="0" borderId="17" xfId="0" applyFont="1" applyFill="1" applyBorder="1" applyAlignment="1">
      <alignment horizontal="left" vertical="center" wrapText="1"/>
    </xf>
    <xf numFmtId="0" fontId="2" fillId="0" borderId="17" xfId="0" applyFont="1" applyFill="1" applyBorder="1" applyAlignment="1">
      <alignment horizontal="left" vertical="center"/>
    </xf>
    <xf numFmtId="168" fontId="0" fillId="0" borderId="17" xfId="1" applyNumberFormat="1" applyFont="1" applyFill="1" applyBorder="1" applyAlignment="1">
      <alignment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9" fontId="0" fillId="0" borderId="23" xfId="96" applyFont="1" applyBorder="1" applyAlignment="1">
      <alignment vertical="center"/>
    </xf>
    <xf numFmtId="9" fontId="0" fillId="0" borderId="16" xfId="96" applyFont="1" applyBorder="1" applyAlignment="1">
      <alignment vertical="center"/>
    </xf>
    <xf numFmtId="9" fontId="0" fillId="0" borderId="10" xfId="96" applyFont="1" applyBorder="1" applyAlignment="1">
      <alignment vertical="center"/>
    </xf>
    <xf numFmtId="0" fontId="31" fillId="0" borderId="37" xfId="0" applyFont="1" applyBorder="1" applyAlignment="1">
      <alignment horizontal="center" vertical="center"/>
    </xf>
    <xf numFmtId="181" fontId="38" fillId="3" borderId="21" xfId="111" applyNumberFormat="1" applyFont="1" applyFill="1" applyBorder="1" applyAlignment="1">
      <alignment horizontal="center" vertical="center" wrapText="1"/>
    </xf>
    <xf numFmtId="181" fontId="47" fillId="0" borderId="25" xfId="0" applyNumberFormat="1" applyFont="1" applyBorder="1" applyAlignment="1">
      <alignment horizontal="center" vertical="center" wrapText="1"/>
    </xf>
    <xf numFmtId="181" fontId="47" fillId="0" borderId="22" xfId="0" applyNumberFormat="1" applyFont="1" applyBorder="1" applyAlignment="1">
      <alignment horizontal="center" vertical="center" wrapText="1"/>
    </xf>
    <xf numFmtId="0" fontId="15" fillId="0" borderId="24" xfId="111" applyFont="1" applyFill="1" applyBorder="1" applyAlignment="1">
      <alignment horizontal="center" vertical="center" wrapText="1"/>
    </xf>
    <xf numFmtId="0" fontId="15" fillId="0" borderId="12" xfId="111" applyFont="1" applyFill="1" applyBorder="1" applyAlignment="1">
      <alignment horizontal="center" vertical="center" wrapText="1"/>
    </xf>
    <xf numFmtId="0" fontId="15" fillId="2" borderId="21" xfId="11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3" fillId="2" borderId="21" xfId="111" applyFont="1" applyFill="1" applyBorder="1" applyAlignment="1">
      <alignment horizontal="center" vertical="justify" wrapText="1"/>
    </xf>
    <xf numFmtId="0" fontId="5" fillId="2" borderId="25" xfId="0" applyFont="1" applyFill="1" applyBorder="1" applyAlignment="1">
      <alignment vertical="justify" wrapText="1"/>
    </xf>
    <xf numFmtId="0" fontId="5" fillId="2" borderId="22" xfId="0" applyFont="1" applyFill="1" applyBorder="1" applyAlignment="1">
      <alignment vertical="justify" wrapText="1"/>
    </xf>
    <xf numFmtId="181" fontId="14" fillId="3" borderId="21" xfId="111" applyNumberFormat="1" applyFont="1" applyFill="1" applyBorder="1" applyAlignment="1">
      <alignment horizontal="center" vertical="center" wrapText="1"/>
    </xf>
    <xf numFmtId="181" fontId="37" fillId="0" borderId="25" xfId="0" applyNumberFormat="1" applyFont="1" applyBorder="1" applyAlignment="1">
      <alignment horizontal="center" vertical="center" wrapText="1"/>
    </xf>
    <xf numFmtId="181" fontId="37" fillId="0" borderId="22" xfId="0" applyNumberFormat="1" applyFont="1" applyBorder="1" applyAlignment="1">
      <alignment horizontal="center" vertical="center" wrapText="1"/>
    </xf>
    <xf numFmtId="0" fontId="36" fillId="4" borderId="36" xfId="0" applyFont="1" applyFill="1" applyBorder="1" applyAlignment="1">
      <alignment horizontal="center" vertical="center" wrapText="1"/>
    </xf>
    <xf numFmtId="0" fontId="36" fillId="4" borderId="16"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14" fillId="0" borderId="36" xfId="111" applyFont="1" applyFill="1" applyBorder="1" applyAlignment="1">
      <alignment horizontal="center" vertical="center" wrapText="1"/>
    </xf>
    <xf numFmtId="0" fontId="14" fillId="0" borderId="16" xfId="111" applyFont="1" applyFill="1" applyBorder="1" applyAlignment="1">
      <alignment horizontal="center" vertical="center" wrapText="1"/>
    </xf>
    <xf numFmtId="0" fontId="14" fillId="0" borderId="10" xfId="111" applyFont="1" applyFill="1" applyBorder="1" applyAlignment="1">
      <alignment horizontal="center" vertical="center" wrapText="1"/>
    </xf>
    <xf numFmtId="0" fontId="5" fillId="2" borderId="25" xfId="0" applyFont="1" applyFill="1" applyBorder="1" applyAlignment="1">
      <alignment horizontal="center" vertical="justify" wrapText="1"/>
    </xf>
    <xf numFmtId="0" fontId="5" fillId="2" borderId="22" xfId="0" applyFont="1" applyFill="1" applyBorder="1" applyAlignment="1">
      <alignment horizontal="center" vertical="justify" wrapText="1"/>
    </xf>
    <xf numFmtId="0" fontId="35" fillId="0" borderId="36" xfId="0" applyFont="1" applyBorder="1" applyAlignment="1">
      <alignment horizontal="center" vertical="center" textRotation="90" wrapText="1"/>
    </xf>
    <xf numFmtId="0" fontId="35" fillId="0" borderId="16" xfId="0" applyFont="1" applyBorder="1" applyAlignment="1">
      <alignment horizontal="center" vertical="center" textRotation="90" wrapText="1"/>
    </xf>
    <xf numFmtId="0" fontId="35" fillId="0" borderId="10" xfId="0" applyFont="1" applyBorder="1" applyAlignment="1">
      <alignment horizontal="center" vertical="center" textRotation="90" wrapText="1"/>
    </xf>
    <xf numFmtId="0" fontId="6" fillId="0" borderId="0" xfId="111" applyFont="1" applyFill="1" applyBorder="1" applyAlignment="1">
      <alignment wrapText="1"/>
    </xf>
    <xf numFmtId="0" fontId="13" fillId="0" borderId="23" xfId="111" applyFont="1" applyFill="1" applyBorder="1" applyAlignment="1">
      <alignment horizontal="center" vertical="center"/>
    </xf>
    <xf numFmtId="0" fontId="13" fillId="0" borderId="10" xfId="111" applyFont="1" applyFill="1" applyBorder="1" applyAlignment="1">
      <alignment horizontal="center" vertical="center"/>
    </xf>
    <xf numFmtId="0" fontId="15" fillId="0" borderId="7" xfId="111" applyFont="1" applyFill="1" applyBorder="1" applyAlignment="1">
      <alignment horizontal="center" vertical="center"/>
    </xf>
    <xf numFmtId="0" fontId="15" fillId="0" borderId="9" xfId="111" applyFont="1" applyFill="1" applyBorder="1" applyAlignment="1">
      <alignment horizontal="center" vertical="center"/>
    </xf>
    <xf numFmtId="0" fontId="13" fillId="4" borderId="44" xfId="111" applyFont="1" applyFill="1" applyBorder="1" applyAlignment="1">
      <alignment horizontal="left" vertical="center" wrapText="1"/>
    </xf>
    <xf numFmtId="0" fontId="13" fillId="4" borderId="10" xfId="111"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10" fontId="21" fillId="0" borderId="28" xfId="110" applyNumberFormat="1" applyFont="1" applyBorder="1" applyAlignment="1">
      <alignment horizontal="center" vertical="center"/>
    </xf>
    <xf numFmtId="10" fontId="21" fillId="0" borderId="29" xfId="110" applyNumberFormat="1" applyFont="1" applyBorder="1" applyAlignment="1">
      <alignment horizontal="center" vertical="center"/>
    </xf>
    <xf numFmtId="10" fontId="21" fillId="0" borderId="30" xfId="110" applyNumberFormat="1" applyFont="1" applyBorder="1" applyAlignment="1">
      <alignment horizontal="center" vertical="center"/>
    </xf>
    <xf numFmtId="17" fontId="7" fillId="0" borderId="20" xfId="0" applyNumberFormat="1" applyFont="1" applyFill="1" applyBorder="1" applyAlignment="1">
      <alignment horizontal="center" vertical="center"/>
    </xf>
    <xf numFmtId="17" fontId="7" fillId="0" borderId="39"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42" xfId="0" applyFont="1" applyFill="1" applyBorder="1" applyAlignment="1">
      <alignment horizontal="center" vertical="center" wrapText="1"/>
    </xf>
  </cellXfs>
  <cellStyles count="12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xfId="126" builtinId="6"/>
    <cellStyle name="Millares [0] 2" xfId="116" xr:uid="{00000000-0005-0000-0000-000066000000}"/>
    <cellStyle name="Millares 2" xfId="112" xr:uid="{00000000-0005-0000-0000-000067000000}"/>
    <cellStyle name="Millares 2 2" xfId="120" xr:uid="{00000000-0005-0000-0000-000068000000}"/>
    <cellStyle name="Millares 2 2 4" xfId="122" xr:uid="{00000000-0005-0000-0000-000069000000}"/>
    <cellStyle name="Millares 3" xfId="121" xr:uid="{00000000-0005-0000-0000-00006A000000}"/>
    <cellStyle name="Moneda" xfId="95" builtinId="4"/>
    <cellStyle name="Moneda [0] 2" xfId="92" xr:uid="{00000000-0005-0000-0000-00006C000000}"/>
    <cellStyle name="Moneda [0] 3" xfId="123" xr:uid="{00000000-0005-0000-0000-00006D000000}"/>
    <cellStyle name="Moneda 10 2" xfId="124" xr:uid="{00000000-0005-0000-0000-00006E000000}"/>
    <cellStyle name="Moneda 2" xfId="107" xr:uid="{00000000-0005-0000-0000-00006F000000}"/>
    <cellStyle name="Normal" xfId="0" builtinId="0"/>
    <cellStyle name="Normal 10" xfId="111" xr:uid="{00000000-0005-0000-0000-000071000000}"/>
    <cellStyle name="Normal 14" xfId="109" xr:uid="{00000000-0005-0000-0000-000072000000}"/>
    <cellStyle name="Normal 15" xfId="119" xr:uid="{00000000-0005-0000-0000-000073000000}"/>
    <cellStyle name="Normal 16" xfId="125" xr:uid="{00000000-0005-0000-0000-000074000000}"/>
    <cellStyle name="Normal 2" xfId="97" xr:uid="{00000000-0005-0000-0000-000075000000}"/>
    <cellStyle name="Normal 3" xfId="108" xr:uid="{00000000-0005-0000-0000-000076000000}"/>
    <cellStyle name="Normal 4" xfId="113" xr:uid="{00000000-0005-0000-0000-000077000000}"/>
    <cellStyle name="Normal 4 2" xfId="114" xr:uid="{00000000-0005-0000-0000-000078000000}"/>
    <cellStyle name="Normal 5" xfId="115" xr:uid="{00000000-0005-0000-0000-000079000000}"/>
    <cellStyle name="Normal 6" xfId="117" xr:uid="{00000000-0005-0000-0000-00007A000000}"/>
    <cellStyle name="Normal 7" xfId="118" xr:uid="{00000000-0005-0000-0000-00007B000000}"/>
    <cellStyle name="Porcentaje" xfId="96" builtinId="5"/>
    <cellStyle name="Porcentaje 3" xfId="110" xr:uid="{00000000-0005-0000-0000-00007D000000}"/>
    <cellStyle name="Porcentual 2" xfId="106" xr:uid="{00000000-0005-0000-0000-00007E000000}"/>
  </cellStyles>
  <dxfs count="135">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UNIVERSIDAD\2019\procesos%20de%20licitaci&#243;n\Licitaciones\EVALUACION%20TECNICA%200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 val="CALIFICACION PERSONAL"/>
      <sheetName val="CORREC. ARITM."/>
      <sheetName val="PROPUESTA ECONOMICA"/>
    </sheetNames>
    <sheetDataSet>
      <sheetData sheetId="0">
        <row r="4">
          <cell r="A4" t="str">
            <v>LICITACIÓN PÚBLICA N° 032-2019</v>
          </cell>
        </row>
        <row r="11">
          <cell r="F11" t="str">
            <v>VALOR/ OBSERVACION</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F105"/>
  <sheetViews>
    <sheetView tabSelected="1" view="pageBreakPreview" zoomScale="70" zoomScaleNormal="66" zoomScaleSheetLayoutView="70" zoomScalePageLayoutView="70" workbookViewId="0">
      <selection activeCell="D5" sqref="D5"/>
    </sheetView>
  </sheetViews>
  <sheetFormatPr baseColWidth="10" defaultColWidth="11.42578125" defaultRowHeight="12.75" x14ac:dyDescent="0.2"/>
  <cols>
    <col min="1" max="1" width="12.7109375" style="37" customWidth="1"/>
    <col min="2" max="2" width="131.5703125" style="38" customWidth="1"/>
    <col min="3" max="3" width="15.7109375" style="39" customWidth="1"/>
    <col min="4" max="4" width="80.7109375" style="39" customWidth="1"/>
    <col min="5" max="5" width="15.7109375" style="38" customWidth="1"/>
    <col min="6" max="6" width="80.7109375" style="38" customWidth="1"/>
    <col min="7" max="16384" width="11.42578125" style="34"/>
  </cols>
  <sheetData>
    <row r="1" spans="1:6" s="29" customFormat="1" ht="25.5" customHeight="1" x14ac:dyDescent="0.25">
      <c r="A1" s="347" t="s">
        <v>28</v>
      </c>
      <c r="B1" s="347"/>
      <c r="C1" s="28"/>
      <c r="D1" s="28"/>
      <c r="E1" s="28"/>
      <c r="F1" s="28"/>
    </row>
    <row r="2" spans="1:6" s="29" customFormat="1" ht="25.5" customHeight="1" x14ac:dyDescent="0.25">
      <c r="A2" s="347" t="s">
        <v>29</v>
      </c>
      <c r="B2" s="347"/>
      <c r="C2" s="28"/>
      <c r="D2" s="28"/>
      <c r="E2" s="28"/>
      <c r="F2" s="28"/>
    </row>
    <row r="3" spans="1:6" s="29" customFormat="1" ht="17.25" customHeight="1" x14ac:dyDescent="0.25">
      <c r="A3" s="346"/>
      <c r="B3" s="346"/>
      <c r="C3" s="30"/>
      <c r="D3" s="30"/>
      <c r="E3" s="30"/>
      <c r="F3" s="30"/>
    </row>
    <row r="4" spans="1:6" s="29" customFormat="1" ht="23.25" customHeight="1" x14ac:dyDescent="0.25">
      <c r="A4" s="347" t="s">
        <v>566</v>
      </c>
      <c r="B4" s="347"/>
      <c r="C4" s="28"/>
      <c r="D4" s="28"/>
      <c r="E4" s="28"/>
      <c r="F4" s="28"/>
    </row>
    <row r="5" spans="1:6" s="29" customFormat="1" ht="22.5" customHeight="1" x14ac:dyDescent="0.25">
      <c r="A5" s="347" t="s">
        <v>40</v>
      </c>
      <c r="B5" s="347"/>
      <c r="C5" s="28"/>
      <c r="D5" s="28"/>
      <c r="E5" s="28"/>
      <c r="F5" s="28"/>
    </row>
    <row r="6" spans="1:6" s="29" customFormat="1" ht="18" customHeight="1" x14ac:dyDescent="0.25">
      <c r="A6" s="346"/>
      <c r="B6" s="346"/>
      <c r="C6" s="30"/>
      <c r="D6" s="30"/>
      <c r="E6" s="30"/>
      <c r="F6" s="30"/>
    </row>
    <row r="7" spans="1:6" s="29" customFormat="1" ht="55.5" customHeight="1" x14ac:dyDescent="0.25">
      <c r="A7" s="342" t="s">
        <v>565</v>
      </c>
      <c r="B7" s="342"/>
      <c r="C7" s="52"/>
      <c r="D7" s="52"/>
      <c r="E7" s="52"/>
      <c r="F7" s="52"/>
    </row>
    <row r="8" spans="1:6" s="29" customFormat="1" ht="15.75" x14ac:dyDescent="0.25">
      <c r="A8" s="32"/>
      <c r="B8" s="32"/>
      <c r="C8" s="33"/>
      <c r="D8" s="33"/>
      <c r="E8" s="33"/>
      <c r="F8" s="33"/>
    </row>
    <row r="9" spans="1:6" ht="15.75" customHeight="1" x14ac:dyDescent="0.2">
      <c r="A9" s="343" t="s">
        <v>0</v>
      </c>
      <c r="B9" s="343" t="s">
        <v>30</v>
      </c>
      <c r="C9" s="331">
        <v>1</v>
      </c>
      <c r="D9" s="331"/>
      <c r="E9" s="331">
        <v>2</v>
      </c>
      <c r="F9" s="331"/>
    </row>
    <row r="10" spans="1:6" ht="24" customHeight="1" x14ac:dyDescent="0.2">
      <c r="A10" s="344"/>
      <c r="B10" s="345"/>
      <c r="C10" s="332" t="s">
        <v>489</v>
      </c>
      <c r="D10" s="332"/>
      <c r="E10" s="332" t="s">
        <v>515</v>
      </c>
      <c r="F10" s="332"/>
    </row>
    <row r="11" spans="1:6" ht="24" customHeight="1" x14ac:dyDescent="0.2">
      <c r="A11" s="345"/>
      <c r="B11" s="54" t="s">
        <v>31</v>
      </c>
      <c r="C11" s="54" t="s">
        <v>32</v>
      </c>
      <c r="D11" s="55" t="s">
        <v>33</v>
      </c>
      <c r="E11" s="54" t="s">
        <v>32</v>
      </c>
      <c r="F11" s="207" t="s">
        <v>33</v>
      </c>
    </row>
    <row r="12" spans="1:6" ht="16.5" x14ac:dyDescent="0.2">
      <c r="A12" s="83" t="s">
        <v>41</v>
      </c>
      <c r="B12" s="56" t="s">
        <v>83</v>
      </c>
      <c r="C12" s="205"/>
      <c r="D12" s="208"/>
      <c r="E12" s="205"/>
      <c r="F12" s="208"/>
    </row>
    <row r="13" spans="1:6" ht="16.5" x14ac:dyDescent="0.2">
      <c r="A13" s="109" t="s">
        <v>488</v>
      </c>
      <c r="B13" s="151" t="s">
        <v>71</v>
      </c>
      <c r="C13" s="205"/>
      <c r="D13" s="208"/>
      <c r="E13" s="205"/>
      <c r="F13" s="208"/>
    </row>
    <row r="14" spans="1:6" ht="394.5" customHeight="1" x14ac:dyDescent="0.2">
      <c r="A14" s="337" t="s">
        <v>71</v>
      </c>
      <c r="B14" s="185" t="s">
        <v>470</v>
      </c>
      <c r="C14" s="50" t="s">
        <v>87</v>
      </c>
      <c r="D14" s="328" t="s">
        <v>535</v>
      </c>
      <c r="E14" s="50" t="s">
        <v>87</v>
      </c>
      <c r="F14" s="328" t="s">
        <v>536</v>
      </c>
    </row>
    <row r="15" spans="1:6" s="29" customFormat="1" ht="48.75" customHeight="1" x14ac:dyDescent="0.25">
      <c r="A15" s="338"/>
      <c r="B15" s="174" t="s">
        <v>471</v>
      </c>
      <c r="C15" s="50" t="str">
        <f>+IF(D15&gt;=VTE!$D$4,"SI","NO")</f>
        <v>SI</v>
      </c>
      <c r="D15" s="209">
        <f>+VTE!G4</f>
        <v>2674720617</v>
      </c>
      <c r="E15" s="50" t="str">
        <f>+IF(F15&gt;=VTE!$D$4,"SI","NO")</f>
        <v>SI</v>
      </c>
      <c r="F15" s="209">
        <f>+VTE!K4</f>
        <v>881805496</v>
      </c>
    </row>
    <row r="16" spans="1:6" s="29" customFormat="1" ht="77.25" customHeight="1" x14ac:dyDescent="0.25">
      <c r="A16" s="338"/>
      <c r="B16" s="187" t="s">
        <v>495</v>
      </c>
      <c r="C16" s="186" t="s">
        <v>88</v>
      </c>
      <c r="D16" s="210" t="s">
        <v>88</v>
      </c>
      <c r="E16" s="186" t="s">
        <v>88</v>
      </c>
      <c r="F16" s="210" t="s">
        <v>88</v>
      </c>
    </row>
    <row r="17" spans="1:6" s="29" customFormat="1" ht="87" customHeight="1" x14ac:dyDescent="0.25">
      <c r="A17" s="338"/>
      <c r="B17" s="187" t="s">
        <v>472</v>
      </c>
      <c r="C17" s="186" t="s">
        <v>87</v>
      </c>
      <c r="D17" s="211" t="s">
        <v>494</v>
      </c>
      <c r="E17" s="186" t="s">
        <v>87</v>
      </c>
      <c r="F17" s="211" t="s">
        <v>539</v>
      </c>
    </row>
    <row r="18" spans="1:6" s="29" customFormat="1" ht="113.25" customHeight="1" x14ac:dyDescent="0.25">
      <c r="A18" s="338"/>
      <c r="B18" s="173" t="s">
        <v>473</v>
      </c>
      <c r="C18" s="152" t="s">
        <v>87</v>
      </c>
      <c r="D18" s="213" t="s">
        <v>493</v>
      </c>
      <c r="E18" s="152" t="s">
        <v>87</v>
      </c>
      <c r="F18" s="213" t="s">
        <v>540</v>
      </c>
    </row>
    <row r="19" spans="1:6" s="29" customFormat="1" ht="57" customHeight="1" x14ac:dyDescent="0.25">
      <c r="A19" s="338"/>
      <c r="B19" s="173" t="s">
        <v>95</v>
      </c>
      <c r="C19" s="152" t="s">
        <v>88</v>
      </c>
      <c r="D19" s="214" t="s">
        <v>88</v>
      </c>
      <c r="E19" s="152" t="s">
        <v>88</v>
      </c>
      <c r="F19" s="214" t="s">
        <v>88</v>
      </c>
    </row>
    <row r="20" spans="1:6" s="29" customFormat="1" ht="54.75" customHeight="1" x14ac:dyDescent="0.25">
      <c r="A20" s="338"/>
      <c r="B20" s="172" t="s">
        <v>94</v>
      </c>
      <c r="C20" s="57" t="s">
        <v>88</v>
      </c>
      <c r="D20" s="214" t="s">
        <v>88</v>
      </c>
      <c r="E20" s="57" t="s">
        <v>88</v>
      </c>
      <c r="F20" s="214" t="s">
        <v>88</v>
      </c>
    </row>
    <row r="21" spans="1:6" s="29" customFormat="1" ht="54.75" customHeight="1" x14ac:dyDescent="0.25">
      <c r="A21" s="338"/>
      <c r="B21" s="320" t="s">
        <v>496</v>
      </c>
      <c r="C21" s="321" t="s">
        <v>87</v>
      </c>
      <c r="D21" s="223" t="s">
        <v>513</v>
      </c>
      <c r="E21" s="321" t="s">
        <v>87</v>
      </c>
      <c r="F21" s="223" t="s">
        <v>513</v>
      </c>
    </row>
    <row r="22" spans="1:6" s="29" customFormat="1" ht="161.25" customHeight="1" x14ac:dyDescent="0.25">
      <c r="A22" s="339"/>
      <c r="B22" s="175" t="s">
        <v>474</v>
      </c>
      <c r="C22" s="176" t="s">
        <v>88</v>
      </c>
      <c r="D22" s="223" t="s">
        <v>88</v>
      </c>
      <c r="E22" s="176" t="s">
        <v>88</v>
      </c>
      <c r="F22" s="223" t="s">
        <v>88</v>
      </c>
    </row>
    <row r="23" spans="1:6" ht="24.95" customHeight="1" x14ac:dyDescent="0.2">
      <c r="A23" s="83" t="s">
        <v>108</v>
      </c>
      <c r="B23" s="58" t="s">
        <v>53</v>
      </c>
      <c r="C23" s="206"/>
      <c r="D23" s="212"/>
      <c r="E23" s="206"/>
      <c r="F23" s="212"/>
    </row>
    <row r="24" spans="1:6" ht="123.75" customHeight="1" x14ac:dyDescent="0.2">
      <c r="A24" s="337" t="s">
        <v>100</v>
      </c>
      <c r="B24" s="192" t="s">
        <v>478</v>
      </c>
      <c r="C24" s="97" t="s">
        <v>87</v>
      </c>
      <c r="D24" s="218" t="s">
        <v>497</v>
      </c>
      <c r="E24" s="97" t="s">
        <v>87</v>
      </c>
      <c r="F24" s="218" t="s">
        <v>542</v>
      </c>
    </row>
    <row r="25" spans="1:6" ht="87.75" customHeight="1" x14ac:dyDescent="0.2">
      <c r="A25" s="338"/>
      <c r="B25" s="193" t="s">
        <v>475</v>
      </c>
      <c r="C25" s="194" t="s">
        <v>87</v>
      </c>
      <c r="D25" s="216" t="s">
        <v>499</v>
      </c>
      <c r="E25" s="194" t="s">
        <v>87</v>
      </c>
      <c r="F25" s="216" t="s">
        <v>541</v>
      </c>
    </row>
    <row r="26" spans="1:6" ht="409.5" customHeight="1" x14ac:dyDescent="0.2">
      <c r="A26" s="338"/>
      <c r="B26" s="193" t="s">
        <v>476</v>
      </c>
      <c r="C26" s="194" t="s">
        <v>89</v>
      </c>
      <c r="D26" s="217" t="s">
        <v>567</v>
      </c>
      <c r="E26" s="194" t="s">
        <v>89</v>
      </c>
      <c r="F26" s="323" t="s">
        <v>572</v>
      </c>
    </row>
    <row r="27" spans="1:6" ht="109.5" customHeight="1" x14ac:dyDescent="0.2">
      <c r="A27" s="338"/>
      <c r="B27" s="193" t="s">
        <v>543</v>
      </c>
      <c r="C27" s="194" t="s">
        <v>88</v>
      </c>
      <c r="D27" s="216" t="s">
        <v>88</v>
      </c>
      <c r="E27" s="194" t="s">
        <v>87</v>
      </c>
      <c r="F27" s="216" t="s">
        <v>573</v>
      </c>
    </row>
    <row r="28" spans="1:6" ht="106.5" customHeight="1" x14ac:dyDescent="0.2">
      <c r="A28" s="339"/>
      <c r="B28" s="193" t="s">
        <v>479</v>
      </c>
      <c r="C28" s="194" t="s">
        <v>87</v>
      </c>
      <c r="D28" s="217" t="s">
        <v>533</v>
      </c>
      <c r="E28" s="194" t="s">
        <v>89</v>
      </c>
      <c r="F28" s="330" t="s">
        <v>550</v>
      </c>
    </row>
    <row r="29" spans="1:6" ht="94.5" customHeight="1" x14ac:dyDescent="0.2">
      <c r="A29" s="337" t="s">
        <v>101</v>
      </c>
      <c r="B29" s="192" t="s">
        <v>481</v>
      </c>
      <c r="C29" s="97" t="s">
        <v>87</v>
      </c>
      <c r="D29" s="218" t="s">
        <v>498</v>
      </c>
      <c r="E29" s="97" t="s">
        <v>87</v>
      </c>
      <c r="F29" s="218" t="s">
        <v>548</v>
      </c>
    </row>
    <row r="30" spans="1:6" ht="114" customHeight="1" x14ac:dyDescent="0.2">
      <c r="A30" s="338"/>
      <c r="B30" s="193" t="s">
        <v>475</v>
      </c>
      <c r="C30" s="194" t="s">
        <v>87</v>
      </c>
      <c r="D30" s="216" t="s">
        <v>534</v>
      </c>
      <c r="E30" s="194" t="s">
        <v>87</v>
      </c>
      <c r="F30" s="216" t="s">
        <v>549</v>
      </c>
    </row>
    <row r="31" spans="1:6" ht="408.75" customHeight="1" x14ac:dyDescent="0.2">
      <c r="A31" s="338"/>
      <c r="B31" s="193" t="s">
        <v>102</v>
      </c>
      <c r="C31" s="194" t="s">
        <v>89</v>
      </c>
      <c r="D31" s="217" t="s">
        <v>568</v>
      </c>
      <c r="E31" s="194" t="s">
        <v>89</v>
      </c>
      <c r="F31" s="217" t="s">
        <v>574</v>
      </c>
    </row>
    <row r="32" spans="1:6" ht="75.75" customHeight="1" x14ac:dyDescent="0.2">
      <c r="A32" s="338"/>
      <c r="B32" s="193" t="s">
        <v>477</v>
      </c>
      <c r="C32" s="194" t="s">
        <v>88</v>
      </c>
      <c r="D32" s="216" t="s">
        <v>88</v>
      </c>
      <c r="E32" s="194" t="s">
        <v>88</v>
      </c>
      <c r="F32" s="216" t="s">
        <v>88</v>
      </c>
    </row>
    <row r="33" spans="1:6" ht="153.75" customHeight="1" x14ac:dyDescent="0.2">
      <c r="A33" s="338"/>
      <c r="B33" s="193" t="s">
        <v>479</v>
      </c>
      <c r="C33" s="194" t="s">
        <v>87</v>
      </c>
      <c r="D33" s="217" t="s">
        <v>533</v>
      </c>
      <c r="E33" s="194" t="s">
        <v>89</v>
      </c>
      <c r="F33" s="330" t="s">
        <v>551</v>
      </c>
    </row>
    <row r="34" spans="1:6" ht="284.25" customHeight="1" x14ac:dyDescent="0.2">
      <c r="A34" s="337" t="s">
        <v>480</v>
      </c>
      <c r="B34" s="192" t="s">
        <v>486</v>
      </c>
      <c r="C34" s="97" t="s">
        <v>89</v>
      </c>
      <c r="D34" s="218" t="s">
        <v>552</v>
      </c>
      <c r="E34" s="97" t="s">
        <v>89</v>
      </c>
      <c r="F34" s="218" t="s">
        <v>575</v>
      </c>
    </row>
    <row r="35" spans="1:6" ht="127.5" customHeight="1" x14ac:dyDescent="0.2">
      <c r="A35" s="338"/>
      <c r="B35" s="193" t="s">
        <v>482</v>
      </c>
      <c r="C35" s="194" t="s">
        <v>87</v>
      </c>
      <c r="D35" s="216" t="s">
        <v>553</v>
      </c>
      <c r="E35" s="194" t="s">
        <v>87</v>
      </c>
      <c r="F35" s="216" t="s">
        <v>554</v>
      </c>
    </row>
    <row r="36" spans="1:6" ht="409.5" customHeight="1" x14ac:dyDescent="0.2">
      <c r="A36" s="338"/>
      <c r="B36" s="340" t="s">
        <v>483</v>
      </c>
      <c r="C36" s="194" t="s">
        <v>89</v>
      </c>
      <c r="D36" s="217" t="s">
        <v>569</v>
      </c>
      <c r="E36" s="194" t="s">
        <v>89</v>
      </c>
      <c r="F36" s="217" t="s">
        <v>576</v>
      </c>
    </row>
    <row r="37" spans="1:6" ht="408.75" customHeight="1" x14ac:dyDescent="0.2">
      <c r="A37" s="338"/>
      <c r="B37" s="341"/>
      <c r="C37" s="322" t="s">
        <v>89</v>
      </c>
      <c r="D37" s="217" t="s">
        <v>570</v>
      </c>
      <c r="E37" s="322" t="s">
        <v>89</v>
      </c>
      <c r="F37" s="217" t="s">
        <v>577</v>
      </c>
    </row>
    <row r="38" spans="1:6" ht="306.75" customHeight="1" x14ac:dyDescent="0.2">
      <c r="A38" s="338"/>
      <c r="B38" s="193" t="s">
        <v>479</v>
      </c>
      <c r="C38" s="194" t="s">
        <v>87</v>
      </c>
      <c r="D38" s="217" t="s">
        <v>500</v>
      </c>
      <c r="E38" s="194" t="s">
        <v>89</v>
      </c>
      <c r="F38" s="217" t="s">
        <v>555</v>
      </c>
    </row>
    <row r="39" spans="1:6" ht="151.5" customHeight="1" x14ac:dyDescent="0.2">
      <c r="A39" s="337" t="s">
        <v>103</v>
      </c>
      <c r="B39" s="192" t="s">
        <v>487</v>
      </c>
      <c r="C39" s="97" t="s">
        <v>89</v>
      </c>
      <c r="D39" s="218" t="s">
        <v>501</v>
      </c>
      <c r="E39" s="97" t="s">
        <v>87</v>
      </c>
      <c r="F39" s="218" t="s">
        <v>556</v>
      </c>
    </row>
    <row r="40" spans="1:6" ht="71.25" customHeight="1" x14ac:dyDescent="0.2">
      <c r="A40" s="338"/>
      <c r="B40" s="193" t="s">
        <v>484</v>
      </c>
      <c r="C40" s="194" t="s">
        <v>87</v>
      </c>
      <c r="D40" s="216" t="s">
        <v>110</v>
      </c>
      <c r="E40" s="194" t="s">
        <v>87</v>
      </c>
      <c r="F40" s="216" t="s">
        <v>110</v>
      </c>
    </row>
    <row r="41" spans="1:6" ht="408.75" customHeight="1" x14ac:dyDescent="0.2">
      <c r="A41" s="338"/>
      <c r="B41" s="193" t="s">
        <v>485</v>
      </c>
      <c r="C41" s="194" t="s">
        <v>89</v>
      </c>
      <c r="D41" s="217" t="s">
        <v>571</v>
      </c>
      <c r="E41" s="194" t="s">
        <v>89</v>
      </c>
      <c r="F41" s="217" t="s">
        <v>578</v>
      </c>
    </row>
    <row r="42" spans="1:6" ht="118.5" customHeight="1" x14ac:dyDescent="0.2">
      <c r="A42" s="339"/>
      <c r="B42" s="193" t="s">
        <v>479</v>
      </c>
      <c r="C42" s="194" t="s">
        <v>87</v>
      </c>
      <c r="D42" s="217" t="s">
        <v>502</v>
      </c>
      <c r="E42" s="194" t="s">
        <v>87</v>
      </c>
      <c r="F42" s="217" t="s">
        <v>557</v>
      </c>
    </row>
    <row r="43" spans="1:6" ht="24.95" customHeight="1" x14ac:dyDescent="0.2">
      <c r="A43" s="314" t="s">
        <v>503</v>
      </c>
      <c r="B43" s="58" t="s">
        <v>504</v>
      </c>
      <c r="C43" s="206"/>
      <c r="D43" s="212"/>
      <c r="E43" s="206"/>
      <c r="F43" s="212"/>
    </row>
    <row r="44" spans="1:6" ht="366.75" customHeight="1" x14ac:dyDescent="0.2">
      <c r="A44" s="54"/>
      <c r="B44" s="59" t="s">
        <v>505</v>
      </c>
      <c r="C44" s="194" t="s">
        <v>87</v>
      </c>
      <c r="D44" s="216" t="s">
        <v>544</v>
      </c>
      <c r="E44" s="194" t="s">
        <v>89</v>
      </c>
      <c r="F44" s="216" t="s">
        <v>547</v>
      </c>
    </row>
    <row r="45" spans="1:6" ht="24.95" customHeight="1" x14ac:dyDescent="0.2">
      <c r="A45" s="314" t="s">
        <v>506</v>
      </c>
      <c r="B45" s="58" t="s">
        <v>507</v>
      </c>
      <c r="C45" s="206"/>
      <c r="D45" s="212"/>
      <c r="E45" s="206"/>
      <c r="F45" s="212"/>
    </row>
    <row r="46" spans="1:6" ht="90" customHeight="1" x14ac:dyDescent="0.2">
      <c r="A46" s="54"/>
      <c r="B46" s="59" t="s">
        <v>508</v>
      </c>
      <c r="C46" s="322" t="s">
        <v>87</v>
      </c>
      <c r="D46" s="323" t="s">
        <v>546</v>
      </c>
      <c r="E46" s="322" t="s">
        <v>87</v>
      </c>
      <c r="F46" s="323" t="s">
        <v>546</v>
      </c>
    </row>
    <row r="47" spans="1:6" ht="24.95" customHeight="1" x14ac:dyDescent="0.2">
      <c r="A47" s="314" t="s">
        <v>509</v>
      </c>
      <c r="B47" s="58" t="s">
        <v>510</v>
      </c>
      <c r="C47" s="206"/>
      <c r="D47" s="212"/>
      <c r="E47" s="206"/>
      <c r="F47" s="212"/>
    </row>
    <row r="48" spans="1:6" ht="66.75" customHeight="1" x14ac:dyDescent="0.2">
      <c r="A48" s="54"/>
      <c r="B48" s="59" t="s">
        <v>511</v>
      </c>
      <c r="C48" s="194" t="s">
        <v>87</v>
      </c>
      <c r="D48" s="216" t="s">
        <v>512</v>
      </c>
      <c r="E48" s="322" t="s">
        <v>87</v>
      </c>
      <c r="F48" s="323" t="s">
        <v>512</v>
      </c>
    </row>
    <row r="49" spans="1:6" ht="24.95" customHeight="1" x14ac:dyDescent="0.2">
      <c r="A49" s="51" t="s">
        <v>54</v>
      </c>
      <c r="B49" s="58" t="s">
        <v>55</v>
      </c>
      <c r="C49" s="206"/>
      <c r="D49" s="212"/>
      <c r="E49" s="206"/>
      <c r="F49" s="212"/>
    </row>
    <row r="50" spans="1:6" ht="48.75" customHeight="1" x14ac:dyDescent="0.2">
      <c r="A50" s="54"/>
      <c r="B50" s="59" t="s">
        <v>56</v>
      </c>
      <c r="C50" s="50"/>
      <c r="D50" s="215"/>
      <c r="E50" s="50"/>
      <c r="F50" s="215"/>
    </row>
    <row r="51" spans="1:6" ht="32.25" customHeight="1" thickBot="1" x14ac:dyDescent="0.25">
      <c r="A51" s="35"/>
      <c r="B51" s="35"/>
      <c r="C51" s="35"/>
      <c r="D51" s="35"/>
      <c r="E51" s="35"/>
      <c r="F51" s="35"/>
    </row>
    <row r="52" spans="1:6" s="36" customFormat="1" ht="16.5" thickBot="1" x14ac:dyDescent="0.3">
      <c r="A52" s="335" t="s">
        <v>34</v>
      </c>
      <c r="B52" s="336"/>
      <c r="C52" s="333" t="s">
        <v>74</v>
      </c>
      <c r="D52" s="334"/>
      <c r="E52" s="333" t="s">
        <v>74</v>
      </c>
      <c r="F52" s="334"/>
    </row>
    <row r="53" spans="1:6" x14ac:dyDescent="0.2">
      <c r="D53" s="38"/>
    </row>
    <row r="54" spans="1:6" s="42" customFormat="1" ht="15.75" hidden="1" x14ac:dyDescent="0.25">
      <c r="A54" s="60"/>
      <c r="B54" s="61" t="s">
        <v>57</v>
      </c>
      <c r="C54" s="36"/>
      <c r="D54" s="62">
        <f>+D50</f>
        <v>0</v>
      </c>
      <c r="E54" s="60"/>
      <c r="F54" s="62"/>
    </row>
    <row r="55" spans="1:6" s="42" customFormat="1" ht="15.75" hidden="1" x14ac:dyDescent="0.25">
      <c r="A55" s="60"/>
      <c r="B55" s="61" t="s">
        <v>58</v>
      </c>
      <c r="C55" s="36"/>
      <c r="D55" s="64" t="e">
        <f>+ROUND(IF(D54&lt;=VLOOKUP($B$74,formula,2,FALSE),600*(1-((VLOOKUP($B$74,formula,2,FALSE)-D54)/VLOOKUP($B$74,formula,2,FALSE))),600*(1-2*(ABS(VLOOKUP($B$74,formula,2,FALSE)-D54)/VLOOKUP($B$74,formula,2,FALSE)))),3)</f>
        <v>#DIV/0!</v>
      </c>
      <c r="E55" s="64"/>
      <c r="F55" s="64"/>
    </row>
    <row r="56" spans="1:6" s="42" customFormat="1" ht="15.75" hidden="1" x14ac:dyDescent="0.25">
      <c r="A56" s="60"/>
      <c r="B56" s="61" t="s">
        <v>112</v>
      </c>
      <c r="C56" s="36"/>
      <c r="D56" s="60" t="str">
        <f>+'CALIFICACION PERSONAL'!D24</f>
        <v>NO SE ASIGNA PUNTAJE - DEBE ESTAR HABILITADO</v>
      </c>
      <c r="E56" s="60"/>
      <c r="F56" s="60"/>
    </row>
    <row r="57" spans="1:6" s="42" customFormat="1" ht="15.75" hidden="1" x14ac:dyDescent="0.25">
      <c r="A57" s="60"/>
      <c r="B57" s="61" t="s">
        <v>59</v>
      </c>
      <c r="C57" s="36"/>
      <c r="D57" s="65" t="e">
        <f>SUM(D55:D56)</f>
        <v>#DIV/0!</v>
      </c>
      <c r="E57" s="60"/>
      <c r="F57" s="65"/>
    </row>
    <row r="58" spans="1:6" s="42" customFormat="1" ht="18" hidden="1" x14ac:dyDescent="0.25">
      <c r="A58" s="60"/>
      <c r="B58" s="61" t="s">
        <v>60</v>
      </c>
      <c r="C58" s="66"/>
      <c r="D58" s="67"/>
      <c r="E58" s="67"/>
      <c r="F58" s="67"/>
    </row>
    <row r="59" spans="1:6" s="42" customFormat="1" ht="15.75" hidden="1" x14ac:dyDescent="0.25">
      <c r="A59" s="60"/>
      <c r="B59" s="61"/>
      <c r="C59" s="40"/>
      <c r="D59" s="68"/>
      <c r="E59" s="69"/>
      <c r="F59" s="68"/>
    </row>
    <row r="60" spans="1:6" s="42" customFormat="1" ht="18" hidden="1" x14ac:dyDescent="0.25">
      <c r="A60" s="54" t="s">
        <v>61</v>
      </c>
      <c r="B60" s="82">
        <v>7067912240</v>
      </c>
      <c r="C60" s="40"/>
      <c r="D60" s="40"/>
      <c r="E60" s="69"/>
      <c r="F60" s="69"/>
    </row>
    <row r="61" spans="1:6" s="42" customFormat="1" ht="15.75" hidden="1" x14ac:dyDescent="0.25">
      <c r="A61" s="37"/>
      <c r="B61" s="71"/>
      <c r="C61" s="40"/>
      <c r="D61" s="40"/>
      <c r="E61" s="69"/>
      <c r="F61" s="69"/>
    </row>
    <row r="62" spans="1:6" s="42" customFormat="1" ht="18" hidden="1" x14ac:dyDescent="0.25">
      <c r="A62" s="54" t="s">
        <v>68</v>
      </c>
      <c r="B62" s="85">
        <f>+MAX(C54:F54)</f>
        <v>0</v>
      </c>
      <c r="C62" s="40"/>
      <c r="D62" s="40"/>
      <c r="E62" s="69"/>
      <c r="F62" s="69"/>
    </row>
    <row r="63" spans="1:6" s="42" customFormat="1" ht="15.75" hidden="1" x14ac:dyDescent="0.25">
      <c r="A63" s="37"/>
      <c r="B63" s="71"/>
      <c r="C63" s="40"/>
      <c r="D63" s="40"/>
      <c r="E63" s="69"/>
      <c r="F63" s="69"/>
    </row>
    <row r="64" spans="1:6" s="42" customFormat="1" ht="15.75" hidden="1" x14ac:dyDescent="0.25">
      <c r="A64" s="54" t="s">
        <v>62</v>
      </c>
      <c r="B64" s="72" t="s">
        <v>63</v>
      </c>
      <c r="C64" s="40"/>
      <c r="D64" s="63"/>
      <c r="E64" s="69"/>
      <c r="F64" s="69"/>
    </row>
    <row r="65" spans="1:6" s="42" customFormat="1" ht="18" hidden="1" x14ac:dyDescent="0.25">
      <c r="A65" s="54">
        <v>1</v>
      </c>
      <c r="B65" s="73">
        <f>+AVERAGE(D54:F54)</f>
        <v>0</v>
      </c>
      <c r="C65" s="40"/>
      <c r="D65" s="40"/>
      <c r="E65" s="69"/>
      <c r="F65" s="69"/>
    </row>
    <row r="66" spans="1:6" s="42" customFormat="1" ht="18" hidden="1" x14ac:dyDescent="0.25">
      <c r="A66" s="54">
        <v>2</v>
      </c>
      <c r="B66" s="73">
        <f>+(B65+B62)/2</f>
        <v>0</v>
      </c>
      <c r="C66" s="40"/>
      <c r="D66" s="40"/>
      <c r="E66" s="69"/>
      <c r="F66" s="69"/>
    </row>
    <row r="67" spans="1:6" s="42" customFormat="1" ht="18" hidden="1" x14ac:dyDescent="0.25">
      <c r="A67" s="54">
        <v>3</v>
      </c>
      <c r="B67" s="73" t="e">
        <f>+GEOMEAN(D54:F54,B60)</f>
        <v>#NUM!</v>
      </c>
      <c r="C67" s="69"/>
      <c r="D67" s="40"/>
      <c r="E67" s="40"/>
      <c r="F67" s="40"/>
    </row>
    <row r="68" spans="1:6" s="42" customFormat="1" ht="15.75" hidden="1" x14ac:dyDescent="0.25">
      <c r="A68" s="183"/>
      <c r="B68" s="71"/>
      <c r="C68" s="69"/>
      <c r="D68" s="40"/>
      <c r="E68" s="40"/>
      <c r="F68" s="40"/>
    </row>
    <row r="69" spans="1:6" s="42" customFormat="1" ht="18" hidden="1" x14ac:dyDescent="0.25">
      <c r="A69" s="54" t="s">
        <v>64</v>
      </c>
      <c r="B69" s="74">
        <f>+COUNT(C54:F54)</f>
        <v>1</v>
      </c>
      <c r="C69" s="69"/>
      <c r="D69" s="40"/>
      <c r="E69" s="40"/>
      <c r="F69" s="69"/>
    </row>
    <row r="70" spans="1:6" s="42" customFormat="1" ht="18" hidden="1" x14ac:dyDescent="0.25">
      <c r="A70" s="54" t="s">
        <v>65</v>
      </c>
      <c r="B70" s="75">
        <f>+IF(AND(1&lt;=B69,B69&lt;=3),1,IF(AND(4&lt;=B69,B69&lt;=6),2,IF(AND(7&lt;=B69,B69&lt;=10),3,"NO APLICA")))</f>
        <v>1</v>
      </c>
      <c r="C70" s="69"/>
      <c r="D70" s="40"/>
      <c r="E70" s="40"/>
      <c r="F70" s="69"/>
    </row>
    <row r="71" spans="1:6" s="42" customFormat="1" ht="18" hidden="1" x14ac:dyDescent="0.25">
      <c r="A71" s="37"/>
      <c r="B71" s="76"/>
      <c r="C71" s="69"/>
      <c r="D71" s="40"/>
      <c r="E71" s="40"/>
      <c r="F71" s="69"/>
    </row>
    <row r="72" spans="1:6" s="42" customFormat="1" ht="18" hidden="1" x14ac:dyDescent="0.25">
      <c r="A72" s="54" t="s">
        <v>66</v>
      </c>
      <c r="B72" s="77">
        <v>3633.42</v>
      </c>
      <c r="C72" s="69"/>
      <c r="D72" s="40"/>
      <c r="E72" s="40"/>
      <c r="F72" s="69"/>
    </row>
    <row r="73" spans="1:6" s="42" customFormat="1" ht="18" hidden="1" x14ac:dyDescent="0.25">
      <c r="A73" s="54" t="s">
        <v>67</v>
      </c>
      <c r="B73" s="78">
        <f>+MOD(B72,INT(B72))</f>
        <v>0.42000000000007276</v>
      </c>
      <c r="C73" s="69"/>
      <c r="D73" s="40"/>
      <c r="E73" s="40"/>
      <c r="F73" s="69"/>
    </row>
    <row r="74" spans="1:6" s="42" customFormat="1" ht="18" hidden="1" x14ac:dyDescent="0.25">
      <c r="A74" s="54" t="s">
        <v>62</v>
      </c>
      <c r="B74" s="84">
        <f>+IF(AND(0&lt;=B73,B73&lt;=0.33),1,IF(AND(0.34&lt;=B73,B73&lt;=0.66),2,IF(AND(0.67&lt;=B73,B73&lt;=0.99),3,"NO APLICA")))</f>
        <v>2</v>
      </c>
      <c r="C74" s="69"/>
      <c r="D74" s="40"/>
      <c r="E74" s="40"/>
      <c r="F74" s="69"/>
    </row>
    <row r="75" spans="1:6" x14ac:dyDescent="0.2">
      <c r="D75" s="38"/>
    </row>
    <row r="76" spans="1:6" x14ac:dyDescent="0.2">
      <c r="C76" s="38"/>
      <c r="E76" s="39"/>
    </row>
    <row r="77" spans="1:6" ht="15.75" x14ac:dyDescent="0.2">
      <c r="B77" s="31" t="s">
        <v>35</v>
      </c>
      <c r="C77" s="38"/>
      <c r="E77" s="39"/>
    </row>
    <row r="78" spans="1:6" x14ac:dyDescent="0.2">
      <c r="C78" s="38"/>
      <c r="E78" s="39"/>
    </row>
    <row r="79" spans="1:6" x14ac:dyDescent="0.2">
      <c r="C79" s="38"/>
      <c r="E79" s="39"/>
    </row>
    <row r="80" spans="1:6" x14ac:dyDescent="0.2">
      <c r="C80" s="38"/>
      <c r="E80" s="39"/>
    </row>
    <row r="81" spans="2:6" ht="15.75" x14ac:dyDescent="0.2">
      <c r="B81" s="40"/>
      <c r="E81" s="39"/>
    </row>
    <row r="82" spans="2:6" ht="15.75" x14ac:dyDescent="0.2">
      <c r="B82" s="41" t="s">
        <v>36</v>
      </c>
      <c r="C82" s="38"/>
      <c r="E82" s="39"/>
    </row>
    <row r="83" spans="2:6" ht="15.75" x14ac:dyDescent="0.25">
      <c r="B83" s="42" t="s">
        <v>91</v>
      </c>
      <c r="C83" s="38"/>
      <c r="E83" s="39"/>
    </row>
    <row r="84" spans="2:6" ht="15.75" x14ac:dyDescent="0.25">
      <c r="B84" s="42"/>
      <c r="C84" s="38"/>
      <c r="E84" s="39"/>
    </row>
    <row r="85" spans="2:6" ht="15.75" x14ac:dyDescent="0.25">
      <c r="B85" s="42"/>
      <c r="C85" s="38"/>
      <c r="E85" s="39"/>
    </row>
    <row r="86" spans="2:6" ht="15.75" x14ac:dyDescent="0.25">
      <c r="B86" s="42"/>
      <c r="C86" s="38"/>
      <c r="E86" s="39"/>
    </row>
    <row r="87" spans="2:6" ht="15.75" x14ac:dyDescent="0.2">
      <c r="B87" s="41" t="s">
        <v>545</v>
      </c>
      <c r="C87" s="38"/>
      <c r="E87" s="39"/>
    </row>
    <row r="88" spans="2:6" ht="15.75" x14ac:dyDescent="0.25">
      <c r="B88" s="42" t="s">
        <v>91</v>
      </c>
      <c r="C88" s="38"/>
      <c r="E88" s="39"/>
    </row>
    <row r="89" spans="2:6" x14ac:dyDescent="0.2">
      <c r="C89" s="38"/>
      <c r="E89" s="39"/>
    </row>
    <row r="90" spans="2:6" x14ac:dyDescent="0.2">
      <c r="C90" s="38"/>
      <c r="E90" s="39"/>
    </row>
    <row r="91" spans="2:6" x14ac:dyDescent="0.2">
      <c r="C91" s="38"/>
      <c r="E91" s="39"/>
    </row>
    <row r="92" spans="2:6" x14ac:dyDescent="0.2">
      <c r="C92" s="38"/>
      <c r="E92" s="39"/>
    </row>
    <row r="93" spans="2:6" ht="15.75" x14ac:dyDescent="0.2">
      <c r="B93" s="41" t="s">
        <v>37</v>
      </c>
      <c r="D93" s="41"/>
      <c r="E93" s="41"/>
      <c r="F93" s="41"/>
    </row>
    <row r="94" spans="2:6" ht="15.75" x14ac:dyDescent="0.25">
      <c r="B94" s="42" t="s">
        <v>38</v>
      </c>
      <c r="D94" s="43"/>
      <c r="E94" s="43"/>
      <c r="F94" s="42"/>
    </row>
    <row r="95" spans="2:6" ht="15.75" x14ac:dyDescent="0.25">
      <c r="B95" s="42" t="s">
        <v>39</v>
      </c>
      <c r="D95" s="43"/>
      <c r="E95" s="43"/>
      <c r="F95" s="42"/>
    </row>
    <row r="96" spans="2:6" ht="14.25" customHeight="1" x14ac:dyDescent="0.25">
      <c r="B96" s="42"/>
      <c r="C96" s="43"/>
      <c r="D96" s="43"/>
      <c r="E96" s="42"/>
      <c r="F96" s="42"/>
    </row>
    <row r="101" spans="1:4" s="38" customFormat="1" x14ac:dyDescent="0.25">
      <c r="A101" s="37"/>
      <c r="C101" s="39"/>
      <c r="D101" s="39"/>
    </row>
    <row r="102" spans="1:4" s="38" customFormat="1" x14ac:dyDescent="0.25">
      <c r="A102" s="37"/>
      <c r="C102" s="39"/>
      <c r="D102" s="39"/>
    </row>
    <row r="103" spans="1:4" s="38" customFormat="1" x14ac:dyDescent="0.25">
      <c r="A103" s="37"/>
      <c r="C103" s="39"/>
      <c r="D103" s="39"/>
    </row>
    <row r="104" spans="1:4" s="38" customFormat="1" x14ac:dyDescent="0.25">
      <c r="A104" s="37"/>
      <c r="C104" s="39"/>
      <c r="D104" s="39"/>
    </row>
    <row r="105" spans="1:4" s="38" customFormat="1" x14ac:dyDescent="0.25">
      <c r="A105" s="37"/>
      <c r="C105" s="39"/>
      <c r="D105" s="39"/>
    </row>
  </sheetData>
  <mergeCells count="22">
    <mergeCell ref="A6:B6"/>
    <mergeCell ref="A1:B1"/>
    <mergeCell ref="A2:B2"/>
    <mergeCell ref="A3:B3"/>
    <mergeCell ref="A4:B4"/>
    <mergeCell ref="A5:B5"/>
    <mergeCell ref="A7:B7"/>
    <mergeCell ref="A9:A11"/>
    <mergeCell ref="B9:B10"/>
    <mergeCell ref="C9:D9"/>
    <mergeCell ref="A14:A22"/>
    <mergeCell ref="E9:F9"/>
    <mergeCell ref="C10:D10"/>
    <mergeCell ref="E10:F10"/>
    <mergeCell ref="E52:F52"/>
    <mergeCell ref="A52:B52"/>
    <mergeCell ref="C52:D52"/>
    <mergeCell ref="A24:A28"/>
    <mergeCell ref="A29:A33"/>
    <mergeCell ref="A34:A38"/>
    <mergeCell ref="A39:A42"/>
    <mergeCell ref="B36:B37"/>
  </mergeCells>
  <conditionalFormatting sqref="D26:D28 C25:D25 E26:E33 C26:C33 C17:D17 C18:F18 C14:F16 C19:D20 C21:F22 F27:F28">
    <cfRule type="cellIs" dxfId="134" priority="714" operator="equal">
      <formula>"NO"</formula>
    </cfRule>
  </conditionalFormatting>
  <conditionalFormatting sqref="C52:D52">
    <cfRule type="cellIs" dxfId="133" priority="713" operator="equal">
      <formula>"NO HABIL"</formula>
    </cfRule>
  </conditionalFormatting>
  <conditionalFormatting sqref="E50">
    <cfRule type="cellIs" dxfId="132" priority="700" operator="equal">
      <formula>"NO"</formula>
    </cfRule>
  </conditionalFormatting>
  <conditionalFormatting sqref="C23:F23">
    <cfRule type="cellIs" dxfId="131" priority="708" operator="equal">
      <formula>"NO"</formula>
    </cfRule>
  </conditionalFormatting>
  <conditionalFormatting sqref="C50">
    <cfRule type="cellIs" dxfId="130" priority="707" operator="equal">
      <formula>"NO"</formula>
    </cfRule>
  </conditionalFormatting>
  <conditionalFormatting sqref="C49:F49">
    <cfRule type="cellIs" dxfId="129" priority="706" operator="equal">
      <formula>"NO"</formula>
    </cfRule>
  </conditionalFormatting>
  <conditionalFormatting sqref="D50">
    <cfRule type="cellIs" dxfId="128" priority="701" operator="equal">
      <formula>"NO"</formula>
    </cfRule>
  </conditionalFormatting>
  <conditionalFormatting sqref="C58 E58:F58">
    <cfRule type="cellIs" dxfId="127" priority="685" operator="equal">
      <formula>1</formula>
    </cfRule>
  </conditionalFormatting>
  <conditionalFormatting sqref="E52:F52">
    <cfRule type="cellIs" dxfId="126" priority="384" operator="equal">
      <formula>"NO HABIL"</formula>
    </cfRule>
  </conditionalFormatting>
  <conditionalFormatting sqref="F50">
    <cfRule type="cellIs" dxfId="125" priority="272" operator="equal">
      <formula>"NO"</formula>
    </cfRule>
  </conditionalFormatting>
  <conditionalFormatting sqref="C39:C42">
    <cfRule type="cellIs" dxfId="124" priority="249" operator="equal">
      <formula>"NO"</formula>
    </cfRule>
  </conditionalFormatting>
  <conditionalFormatting sqref="C34:C38">
    <cfRule type="cellIs" dxfId="123" priority="250" operator="equal">
      <formula>"NO"</formula>
    </cfRule>
  </conditionalFormatting>
  <conditionalFormatting sqref="C24">
    <cfRule type="cellIs" dxfId="122" priority="251" operator="equal">
      <formula>"NO"</formula>
    </cfRule>
  </conditionalFormatting>
  <conditionalFormatting sqref="E24:E25">
    <cfRule type="cellIs" dxfId="121" priority="240" operator="equal">
      <formula>"NO"</formula>
    </cfRule>
  </conditionalFormatting>
  <conditionalFormatting sqref="E34:E38">
    <cfRule type="cellIs" dxfId="120" priority="239" operator="equal">
      <formula>"NO"</formula>
    </cfRule>
  </conditionalFormatting>
  <conditionalFormatting sqref="D24">
    <cfRule type="cellIs" dxfId="119" priority="159" operator="equal">
      <formula>"NO"</formula>
    </cfRule>
  </conditionalFormatting>
  <conditionalFormatting sqref="D29 D32">
    <cfRule type="cellIs" dxfId="118" priority="156" operator="equal">
      <formula>"NO"</formula>
    </cfRule>
  </conditionalFormatting>
  <conditionalFormatting sqref="D34">
    <cfRule type="cellIs" dxfId="117" priority="155" operator="equal">
      <formula>"NO"</formula>
    </cfRule>
  </conditionalFormatting>
  <conditionalFormatting sqref="D39">
    <cfRule type="cellIs" dxfId="116" priority="154" operator="equal">
      <formula>"NO"</formula>
    </cfRule>
  </conditionalFormatting>
  <conditionalFormatting sqref="F32">
    <cfRule type="cellIs" dxfId="115" priority="152" operator="equal">
      <formula>"NO"</formula>
    </cfRule>
  </conditionalFormatting>
  <conditionalFormatting sqref="E39:E42">
    <cfRule type="cellIs" dxfId="114" priority="149" operator="equal">
      <formula>"NO"</formula>
    </cfRule>
  </conditionalFormatting>
  <conditionalFormatting sqref="D58">
    <cfRule type="cellIs" dxfId="113" priority="143" operator="equal">
      <formula>1</formula>
    </cfRule>
  </conditionalFormatting>
  <conditionalFormatting sqref="D35">
    <cfRule type="cellIs" dxfId="112" priority="114" operator="equal">
      <formula>"NO"</formula>
    </cfRule>
  </conditionalFormatting>
  <conditionalFormatting sqref="D30">
    <cfRule type="cellIs" dxfId="111" priority="117" operator="equal">
      <formula>"NO"</formula>
    </cfRule>
  </conditionalFormatting>
  <conditionalFormatting sqref="D40">
    <cfRule type="cellIs" dxfId="110" priority="111" operator="equal">
      <formula>"NO"</formula>
    </cfRule>
  </conditionalFormatting>
  <conditionalFormatting sqref="F33">
    <cfRule type="cellIs" dxfId="109" priority="60" operator="equal">
      <formula>"NO"</formula>
    </cfRule>
  </conditionalFormatting>
  <conditionalFormatting sqref="D41">
    <cfRule type="cellIs" dxfId="108" priority="48" operator="equal">
      <formula>"NO"</formula>
    </cfRule>
  </conditionalFormatting>
  <conditionalFormatting sqref="D31">
    <cfRule type="cellIs" dxfId="107" priority="52" operator="equal">
      <formula>"NO"</formula>
    </cfRule>
  </conditionalFormatting>
  <conditionalFormatting sqref="D36:D37">
    <cfRule type="cellIs" dxfId="106" priority="50" operator="equal">
      <formula>"NO"</formula>
    </cfRule>
  </conditionalFormatting>
  <conditionalFormatting sqref="D33">
    <cfRule type="cellIs" dxfId="105" priority="51" operator="equal">
      <formula>"NO"</formula>
    </cfRule>
  </conditionalFormatting>
  <conditionalFormatting sqref="D42">
    <cfRule type="cellIs" dxfId="104" priority="47" operator="equal">
      <formula>"NO"</formula>
    </cfRule>
  </conditionalFormatting>
  <conditionalFormatting sqref="D38">
    <cfRule type="cellIs" dxfId="103" priority="49" operator="equal">
      <formula>"NO"</formula>
    </cfRule>
  </conditionalFormatting>
  <conditionalFormatting sqref="C44">
    <cfRule type="cellIs" dxfId="102" priority="38" operator="equal">
      <formula>"NO"</formula>
    </cfRule>
  </conditionalFormatting>
  <conditionalFormatting sqref="F44">
    <cfRule type="cellIs" dxfId="101" priority="35" operator="equal">
      <formula>"NO"</formula>
    </cfRule>
  </conditionalFormatting>
  <conditionalFormatting sqref="D44">
    <cfRule type="cellIs" dxfId="100" priority="37" operator="equal">
      <formula>"NO"</formula>
    </cfRule>
  </conditionalFormatting>
  <conditionalFormatting sqref="C43:F43">
    <cfRule type="cellIs" dxfId="99" priority="45" operator="equal">
      <formula>"NO"</formula>
    </cfRule>
  </conditionalFormatting>
  <conditionalFormatting sqref="C45:F45">
    <cfRule type="cellIs" dxfId="98" priority="34" operator="equal">
      <formula>"NO"</formula>
    </cfRule>
  </conditionalFormatting>
  <conditionalFormatting sqref="E44">
    <cfRule type="cellIs" dxfId="97" priority="36" operator="equal">
      <formula>"NO"</formula>
    </cfRule>
  </conditionalFormatting>
  <conditionalFormatting sqref="C47:F47">
    <cfRule type="cellIs" dxfId="96" priority="29" operator="equal">
      <formula>"NO"</formula>
    </cfRule>
  </conditionalFormatting>
  <conditionalFormatting sqref="C48">
    <cfRule type="cellIs" dxfId="95" priority="28" operator="equal">
      <formula>"NO"</formula>
    </cfRule>
  </conditionalFormatting>
  <conditionalFormatting sqref="D48">
    <cfRule type="cellIs" dxfId="94" priority="27" operator="equal">
      <formula>"NO"</formula>
    </cfRule>
  </conditionalFormatting>
  <conditionalFormatting sqref="E17:F17">
    <cfRule type="cellIs" dxfId="93" priority="24" operator="equal">
      <formula>"NO"</formula>
    </cfRule>
  </conditionalFormatting>
  <conditionalFormatting sqref="E19:F20">
    <cfRule type="cellIs" dxfId="92" priority="23" operator="equal">
      <formula>"NO"</formula>
    </cfRule>
  </conditionalFormatting>
  <conditionalFormatting sqref="F25">
    <cfRule type="cellIs" dxfId="91" priority="22" operator="equal">
      <formula>"NO"</formula>
    </cfRule>
  </conditionalFormatting>
  <conditionalFormatting sqref="F24">
    <cfRule type="cellIs" dxfId="90" priority="21" operator="equal">
      <formula>"NO"</formula>
    </cfRule>
  </conditionalFormatting>
  <conditionalFormatting sqref="C46">
    <cfRule type="cellIs" dxfId="89" priority="20" operator="equal">
      <formula>"NO"</formula>
    </cfRule>
  </conditionalFormatting>
  <conditionalFormatting sqref="D46">
    <cfRule type="cellIs" dxfId="88" priority="19" operator="equal">
      <formula>"NO"</formula>
    </cfRule>
  </conditionalFormatting>
  <conditionalFormatting sqref="E46">
    <cfRule type="cellIs" dxfId="87" priority="18" operator="equal">
      <formula>"NO"</formula>
    </cfRule>
  </conditionalFormatting>
  <conditionalFormatting sqref="F46">
    <cfRule type="cellIs" dxfId="86" priority="17" operator="equal">
      <formula>"NO"</formula>
    </cfRule>
  </conditionalFormatting>
  <conditionalFormatting sqref="E48">
    <cfRule type="cellIs" dxfId="85" priority="16" operator="equal">
      <formula>"NO"</formula>
    </cfRule>
  </conditionalFormatting>
  <conditionalFormatting sqref="F48">
    <cfRule type="cellIs" dxfId="84" priority="15" operator="equal">
      <formula>"NO"</formula>
    </cfRule>
  </conditionalFormatting>
  <conditionalFormatting sqref="F29">
    <cfRule type="cellIs" dxfId="83" priority="14" operator="equal">
      <formula>"NO"</formula>
    </cfRule>
  </conditionalFormatting>
  <conditionalFormatting sqref="F30">
    <cfRule type="cellIs" dxfId="82" priority="13" operator="equal">
      <formula>"NO"</formula>
    </cfRule>
  </conditionalFormatting>
  <conditionalFormatting sqref="F31">
    <cfRule type="cellIs" dxfId="81" priority="12" operator="equal">
      <formula>"NO"</formula>
    </cfRule>
  </conditionalFormatting>
  <conditionalFormatting sqref="F34">
    <cfRule type="cellIs" dxfId="80" priority="11" operator="equal">
      <formula>"NO"</formula>
    </cfRule>
  </conditionalFormatting>
  <conditionalFormatting sqref="F35">
    <cfRule type="cellIs" dxfId="79" priority="10" operator="equal">
      <formula>"NO"</formula>
    </cfRule>
  </conditionalFormatting>
  <conditionalFormatting sqref="F36">
    <cfRule type="cellIs" dxfId="78" priority="9" operator="equal">
      <formula>"NO"</formula>
    </cfRule>
  </conditionalFormatting>
  <conditionalFormatting sqref="F37">
    <cfRule type="cellIs" dxfId="77" priority="7" operator="equal">
      <formula>"NO"</formula>
    </cfRule>
  </conditionalFormatting>
  <conditionalFormatting sqref="F38">
    <cfRule type="cellIs" dxfId="76" priority="6" operator="equal">
      <formula>"NO"</formula>
    </cfRule>
  </conditionalFormatting>
  <conditionalFormatting sqref="F39">
    <cfRule type="cellIs" dxfId="75" priority="5" operator="equal">
      <formula>"NO"</formula>
    </cfRule>
  </conditionalFormatting>
  <conditionalFormatting sqref="F40">
    <cfRule type="cellIs" dxfId="74" priority="4" operator="equal">
      <formula>"NO"</formula>
    </cfRule>
  </conditionalFormatting>
  <conditionalFormatting sqref="F41">
    <cfRule type="cellIs" dxfId="73" priority="3" operator="equal">
      <formula>"NO"</formula>
    </cfRule>
  </conditionalFormatting>
  <conditionalFormatting sqref="F42">
    <cfRule type="cellIs" dxfId="72" priority="2" operator="equal">
      <formula>"NO"</formula>
    </cfRule>
  </conditionalFormatting>
  <conditionalFormatting sqref="F26">
    <cfRule type="cellIs" dxfId="71" priority="1" operator="equal">
      <formula>"NO"</formula>
    </cfRule>
  </conditionalFormatting>
  <pageMargins left="0.47244094488188981" right="0.47244094488188981" top="0.59055118110236227" bottom="0.59055118110236227" header="0.23622047244094491" footer="0.31496062992125984"/>
  <pageSetup scale="2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1"/>
  <sheetViews>
    <sheetView view="pageBreakPreview" zoomScale="90" zoomScaleNormal="90" zoomScaleSheetLayoutView="90" workbookViewId="0">
      <pane xSplit="5" ySplit="3" topLeftCell="F43" activePane="bottomRight" state="frozen"/>
      <selection pane="topRight" activeCell="F1" sqref="F1"/>
      <selection pane="bottomLeft" activeCell="A4" sqref="A4"/>
      <selection pane="bottomRight" activeCell="K15" sqref="K15"/>
    </sheetView>
  </sheetViews>
  <sheetFormatPr baseColWidth="10" defaultRowHeight="15" x14ac:dyDescent="0.25"/>
  <cols>
    <col min="1" max="2" width="20.7109375" style="2" customWidth="1"/>
    <col min="3" max="3" width="2.7109375" style="2" customWidth="1"/>
    <col min="4" max="4" width="20.7109375" style="2" customWidth="1"/>
    <col min="5" max="5" width="2.7109375" style="2" customWidth="1"/>
    <col min="6" max="6" width="8.7109375" style="2" customWidth="1"/>
    <col min="7" max="7" width="22.5703125" style="2" customWidth="1"/>
    <col min="8" max="8" width="20.7109375" style="2" customWidth="1"/>
    <col min="9" max="9" width="3.28515625" customWidth="1"/>
    <col min="10" max="10" width="8.7109375" style="2" customWidth="1"/>
    <col min="11" max="12" width="20.7109375" style="2" customWidth="1"/>
    <col min="13" max="13" width="3.28515625" customWidth="1"/>
  </cols>
  <sheetData>
    <row r="1" spans="1:12" x14ac:dyDescent="0.25">
      <c r="A1" s="349" t="s">
        <v>16</v>
      </c>
      <c r="B1" s="349"/>
      <c r="C1" s="3"/>
      <c r="D1" s="4" t="s">
        <v>17</v>
      </c>
      <c r="E1" s="3"/>
      <c r="F1" s="3"/>
      <c r="G1" s="86">
        <v>1</v>
      </c>
      <c r="H1" s="3"/>
      <c r="J1" s="3"/>
      <c r="K1" s="86">
        <v>2</v>
      </c>
      <c r="L1" s="3"/>
    </row>
    <row r="2" spans="1:12" ht="25.5" x14ac:dyDescent="0.25">
      <c r="A2" s="349"/>
      <c r="B2" s="349"/>
      <c r="C2" s="5"/>
      <c r="D2" s="6" t="s">
        <v>490</v>
      </c>
      <c r="E2" s="5"/>
      <c r="F2" s="5"/>
      <c r="G2" s="87" t="str">
        <f>'VERIFICACIÓN TÉCNICA'!C10</f>
        <v>ALCALA SAS</v>
      </c>
      <c r="H2" s="5"/>
      <c r="J2" s="5"/>
      <c r="K2" s="87" t="str">
        <f>'VERIFICACIÓN TÉCNICA'!E10</f>
        <v>POLIOBRAS SAS</v>
      </c>
      <c r="L2" s="5"/>
    </row>
    <row r="3" spans="1:12" x14ac:dyDescent="0.25">
      <c r="C3" s="7"/>
      <c r="E3" s="7"/>
      <c r="F3" s="7"/>
      <c r="G3" s="8"/>
      <c r="H3" s="7"/>
      <c r="J3" s="7"/>
      <c r="K3" s="8"/>
      <c r="L3" s="7"/>
    </row>
    <row r="4" spans="1:12" s="157" customFormat="1" x14ac:dyDescent="0.25">
      <c r="A4" s="350" t="s">
        <v>18</v>
      </c>
      <c r="B4" s="351"/>
      <c r="C4" s="153"/>
      <c r="D4" s="171">
        <v>624417987</v>
      </c>
      <c r="E4" s="153"/>
      <c r="F4" s="159" t="s">
        <v>20</v>
      </c>
      <c r="G4" s="160">
        <f>SUM(G5:G7)</f>
        <v>2674720617</v>
      </c>
      <c r="H4" s="161" t="str">
        <f>+IF(G4&gt;=$D4,"CUMPLE","NO CUMPLE")</f>
        <v>CUMPLE</v>
      </c>
      <c r="J4" s="159" t="s">
        <v>20</v>
      </c>
      <c r="K4" s="160">
        <f>SUM(K5:K7)</f>
        <v>881805496</v>
      </c>
      <c r="L4" s="161" t="str">
        <f>+IF(K4&gt;=$D4,"CUMPLE","NO CUMPLE")</f>
        <v>CUMPLE</v>
      </c>
    </row>
    <row r="5" spans="1:12" x14ac:dyDescent="0.25">
      <c r="A5" s="162"/>
      <c r="B5" s="163"/>
      <c r="D5" s="164"/>
      <c r="F5" s="46" t="s">
        <v>19</v>
      </c>
      <c r="G5" s="48">
        <f>+SUMIF(F$19:F$54,F5,G$19:G$54)</f>
        <v>2674720617</v>
      </c>
      <c r="H5" s="8"/>
      <c r="J5" s="46" t="s">
        <v>19</v>
      </c>
      <c r="K5" s="48">
        <f>+SUMIF(J$19:J$54,J5,K$19:K$54)</f>
        <v>881805496</v>
      </c>
      <c r="L5" s="8"/>
    </row>
    <row r="6" spans="1:12" x14ac:dyDescent="0.25">
      <c r="A6" s="165"/>
      <c r="B6" s="165"/>
      <c r="D6" s="166"/>
      <c r="F6" s="46"/>
      <c r="G6" s="48">
        <f>+SUMIF(F$19:F$54,F6,G$19:G$54)</f>
        <v>0</v>
      </c>
      <c r="H6" s="8"/>
      <c r="J6" s="46"/>
      <c r="K6" s="48">
        <f>+SUMIF(J$19:J$54,J6,K$19:K$54)</f>
        <v>0</v>
      </c>
      <c r="L6" s="8"/>
    </row>
    <row r="7" spans="1:12" x14ac:dyDescent="0.25">
      <c r="A7" s="165"/>
      <c r="B7" s="165"/>
      <c r="D7" s="166"/>
      <c r="F7" s="46"/>
      <c r="G7" s="48">
        <f>+SUMIF(F$19:F$54,F7,G$19:G$54)</f>
        <v>0</v>
      </c>
      <c r="H7" s="226"/>
      <c r="J7" s="46"/>
      <c r="K7" s="48">
        <f>+SUMIF(J$19:J$54,J7,K$19:K$54)</f>
        <v>0</v>
      </c>
      <c r="L7" s="226"/>
    </row>
    <row r="8" spans="1:12" x14ac:dyDescent="0.25">
      <c r="A8" s="9"/>
      <c r="B8" s="9"/>
      <c r="D8" s="45"/>
      <c r="G8" s="45"/>
      <c r="H8" s="8"/>
      <c r="K8" s="45"/>
      <c r="L8" s="8"/>
    </row>
    <row r="9" spans="1:12" x14ac:dyDescent="0.25">
      <c r="A9" s="357" t="s">
        <v>85</v>
      </c>
      <c r="B9" s="358"/>
      <c r="D9" s="363">
        <v>0.3</v>
      </c>
      <c r="F9" s="46" t="s">
        <v>19</v>
      </c>
      <c r="G9" s="47">
        <v>1</v>
      </c>
      <c r="H9" s="8"/>
      <c r="J9" s="46" t="s">
        <v>19</v>
      </c>
      <c r="K9" s="47">
        <v>1</v>
      </c>
      <c r="L9" s="8"/>
    </row>
    <row r="10" spans="1:12" x14ac:dyDescent="0.25">
      <c r="A10" s="359"/>
      <c r="B10" s="360"/>
      <c r="D10" s="364"/>
      <c r="F10" s="46"/>
      <c r="G10" s="47"/>
      <c r="H10" s="8"/>
      <c r="J10" s="46"/>
      <c r="K10" s="47"/>
      <c r="L10" s="8"/>
    </row>
    <row r="11" spans="1:12" x14ac:dyDescent="0.25">
      <c r="A11" s="361"/>
      <c r="B11" s="362"/>
      <c r="D11" s="365"/>
      <c r="F11" s="46"/>
      <c r="G11" s="47"/>
      <c r="H11" s="8"/>
      <c r="J11" s="46"/>
      <c r="K11" s="47"/>
      <c r="L11" s="8"/>
    </row>
    <row r="12" spans="1:12" x14ac:dyDescent="0.25">
      <c r="A12" s="9"/>
      <c r="B12" s="9"/>
      <c r="D12" s="45"/>
      <c r="G12" s="45"/>
      <c r="H12" s="8"/>
      <c r="K12" s="45"/>
      <c r="L12" s="8"/>
    </row>
    <row r="13" spans="1:12" s="184" customFormat="1" ht="30.75" customHeight="1" x14ac:dyDescent="0.25">
      <c r="A13" s="355" t="s">
        <v>99</v>
      </c>
      <c r="B13" s="356"/>
      <c r="C13" s="188"/>
      <c r="D13" s="191">
        <v>0.4</v>
      </c>
      <c r="E13" s="188"/>
      <c r="F13" s="189" t="s">
        <v>19</v>
      </c>
      <c r="G13" s="190">
        <f>+SUMIF(F$19:F$54,F13,G$19:G$54)</f>
        <v>2674720617</v>
      </c>
      <c r="H13" s="181" t="str">
        <f>+IF(VLOOKUP(F13,F$9:G$11,2,FALSE)&gt;=40%,"CUMPLE","NO CUMPLE")</f>
        <v>CUMPLE</v>
      </c>
      <c r="J13" s="189" t="s">
        <v>19</v>
      </c>
      <c r="K13" s="190">
        <f>+SUMIF(J$19:J$54,J13,K$19:K$54)</f>
        <v>881805496</v>
      </c>
      <c r="L13" s="181" t="str">
        <f>+IF(VLOOKUP(J13,J$9:K$11,2,FALSE)&gt;=40%,"CUMPLE","NO CUMPLE")</f>
        <v>CUMPLE</v>
      </c>
    </row>
    <row r="14" spans="1:12" s="2" customFormat="1" x14ac:dyDescent="0.25">
      <c r="A14" s="167"/>
      <c r="B14" s="167"/>
      <c r="D14" s="168"/>
      <c r="F14" s="169"/>
      <c r="G14" s="170"/>
      <c r="H14" s="8"/>
      <c r="J14" s="169"/>
      <c r="K14" s="170"/>
      <c r="L14" s="8"/>
    </row>
    <row r="15" spans="1:12" x14ac:dyDescent="0.25">
      <c r="A15" s="352" t="s">
        <v>86</v>
      </c>
      <c r="B15" s="353"/>
      <c r="D15" s="354">
        <f>+ROUND(D4*0.3,0)</f>
        <v>187325396</v>
      </c>
      <c r="F15" s="46" t="s">
        <v>19</v>
      </c>
      <c r="G15" s="48">
        <f>+SUMIF(F$19:F$54,F15,G$19:G$54)</f>
        <v>2674720617</v>
      </c>
      <c r="H15" s="366" t="str">
        <f>+IF(MIN(G15)&gt;=$D$15,"CUMPLE","NO CUMPLE")</f>
        <v>CUMPLE</v>
      </c>
      <c r="J15" s="46" t="s">
        <v>19</v>
      </c>
      <c r="K15" s="48">
        <f>+SUMIF(J$19:J$54,J15,K$19:K$54)</f>
        <v>881805496</v>
      </c>
      <c r="L15" s="366" t="str">
        <f>+IF(MIN(K15)&gt;=$D$15,"CUMPLE","NO CUMPLE")</f>
        <v>CUMPLE</v>
      </c>
    </row>
    <row r="16" spans="1:12" x14ac:dyDescent="0.25">
      <c r="A16" s="353"/>
      <c r="B16" s="353"/>
      <c r="D16" s="354"/>
      <c r="F16" s="46"/>
      <c r="G16" s="48">
        <f>+SUMIF(F$19:F$54,F16,G$19:G$54)</f>
        <v>0</v>
      </c>
      <c r="H16" s="366"/>
      <c r="J16" s="46"/>
      <c r="K16" s="48">
        <f>+SUMIF(J$19:J$54,J16,K$19:K$54)</f>
        <v>0</v>
      </c>
      <c r="L16" s="366"/>
    </row>
    <row r="17" spans="1:13" x14ac:dyDescent="0.25">
      <c r="A17" s="353"/>
      <c r="B17" s="353"/>
      <c r="D17" s="354"/>
      <c r="F17" s="46"/>
      <c r="G17" s="48">
        <f>+SUMIF(F$19:F$54,F17,G$19:G$54)</f>
        <v>0</v>
      </c>
      <c r="H17" s="366"/>
      <c r="J17" s="46"/>
      <c r="K17" s="48">
        <f>+SUMIF(J$19:J$54,J17,K$19:K$54)</f>
        <v>0</v>
      </c>
      <c r="L17" s="366"/>
    </row>
    <row r="18" spans="1:13" x14ac:dyDescent="0.25">
      <c r="A18" s="9"/>
      <c r="K18" s="45"/>
    </row>
    <row r="19" spans="1:13" x14ac:dyDescent="0.25">
      <c r="A19" s="154" t="s">
        <v>21</v>
      </c>
      <c r="B19" s="10"/>
      <c r="D19" s="161" t="s">
        <v>84</v>
      </c>
      <c r="F19" s="26"/>
      <c r="G19" s="155" t="s">
        <v>21</v>
      </c>
      <c r="H19" s="156"/>
      <c r="I19" s="157"/>
      <c r="J19" s="158"/>
      <c r="K19" s="155" t="s">
        <v>21</v>
      </c>
      <c r="L19" s="156"/>
      <c r="M19" s="157"/>
    </row>
    <row r="20" spans="1:13" x14ac:dyDescent="0.25">
      <c r="A20" s="11"/>
      <c r="B20" s="12"/>
      <c r="F20" s="24"/>
      <c r="G20" s="23"/>
      <c r="H20" s="18"/>
      <c r="J20" s="24"/>
      <c r="K20" s="23"/>
      <c r="L20" s="18"/>
    </row>
    <row r="21" spans="1:13" x14ac:dyDescent="0.25">
      <c r="A21" s="11" t="s">
        <v>22</v>
      </c>
      <c r="B21" s="12"/>
      <c r="D21" s="181">
        <v>391217</v>
      </c>
      <c r="F21" s="13" t="s">
        <v>23</v>
      </c>
      <c r="G21" s="179">
        <v>864357750.72000003</v>
      </c>
      <c r="H21" s="15" t="s">
        <v>15</v>
      </c>
      <c r="J21" s="13" t="s">
        <v>23</v>
      </c>
      <c r="K21" s="179">
        <f>58266314+283394696+81689983+103214795+26709810.5+103134000</f>
        <v>656409598.5</v>
      </c>
      <c r="L21" s="15" t="s">
        <v>15</v>
      </c>
    </row>
    <row r="22" spans="1:13" ht="15" customHeight="1" x14ac:dyDescent="0.25">
      <c r="A22" s="11" t="s">
        <v>24</v>
      </c>
      <c r="B22" s="12"/>
      <c r="D22" s="181">
        <v>721015</v>
      </c>
      <c r="F22" s="24"/>
      <c r="G22" s="23">
        <v>2017</v>
      </c>
      <c r="H22" s="348" t="s">
        <v>491</v>
      </c>
      <c r="J22" s="24"/>
      <c r="K22" s="23">
        <v>2019</v>
      </c>
      <c r="L22" s="348" t="s">
        <v>492</v>
      </c>
    </row>
    <row r="23" spans="1:13" x14ac:dyDescent="0.25">
      <c r="A23" s="16" t="s">
        <v>25</v>
      </c>
      <c r="B23" s="12"/>
      <c r="D23" s="181">
        <v>721515</v>
      </c>
      <c r="F23" s="49">
        <v>1</v>
      </c>
      <c r="G23" s="44">
        <v>1</v>
      </c>
      <c r="H23" s="348"/>
      <c r="J23" s="178">
        <v>1</v>
      </c>
      <c r="K23" s="177">
        <v>1</v>
      </c>
      <c r="L23" s="348"/>
    </row>
    <row r="24" spans="1:13" ht="15" customHeight="1" x14ac:dyDescent="0.25">
      <c r="A24" s="16"/>
      <c r="B24" s="12"/>
      <c r="D24" s="181">
        <v>721516</v>
      </c>
      <c r="F24" s="24"/>
      <c r="G24" s="17"/>
      <c r="H24" s="348"/>
      <c r="J24" s="24"/>
      <c r="K24" s="17"/>
      <c r="L24" s="348"/>
    </row>
    <row r="25" spans="1:13" x14ac:dyDescent="0.25">
      <c r="A25" s="16"/>
      <c r="B25" s="12"/>
      <c r="D25" s="181">
        <v>811017</v>
      </c>
      <c r="F25" s="24"/>
      <c r="G25" s="17"/>
      <c r="H25" s="348"/>
      <c r="J25" s="24"/>
      <c r="K25" s="17"/>
      <c r="L25" s="348"/>
    </row>
    <row r="26" spans="1:13" x14ac:dyDescent="0.25">
      <c r="A26" s="16"/>
      <c r="B26" s="12"/>
      <c r="D26" s="182"/>
      <c r="F26" s="24"/>
      <c r="G26" s="17"/>
      <c r="H26" s="348"/>
      <c r="J26" s="24"/>
      <c r="K26" s="17"/>
      <c r="L26" s="348"/>
    </row>
    <row r="27" spans="1:13" x14ac:dyDescent="0.25">
      <c r="A27" s="16"/>
      <c r="B27" s="12"/>
      <c r="D27" s="182"/>
      <c r="F27" s="24"/>
      <c r="G27" s="17"/>
      <c r="H27" s="348"/>
      <c r="J27" s="24"/>
      <c r="K27" s="17"/>
      <c r="L27" s="348"/>
    </row>
    <row r="28" spans="1:13" x14ac:dyDescent="0.25">
      <c r="A28" s="11"/>
      <c r="B28" s="12"/>
      <c r="D28" s="182"/>
      <c r="F28" s="24"/>
      <c r="G28" s="17"/>
      <c r="H28" s="348"/>
      <c r="J28" s="24"/>
      <c r="K28" s="17"/>
      <c r="L28" s="348"/>
    </row>
    <row r="29" spans="1:13" x14ac:dyDescent="0.25">
      <c r="A29" s="19" t="s">
        <v>27</v>
      </c>
      <c r="B29" s="20"/>
      <c r="D29" s="182"/>
      <c r="F29" s="21" t="s">
        <v>19</v>
      </c>
      <c r="G29" s="22">
        <f>+ROUND(G21*G23*$B$111/(LOOKUP(G22,$A$77:$A$111,$B$77:$B$111)),0)</f>
        <v>1028491721</v>
      </c>
      <c r="H29" s="25">
        <f>+ROUND(G29/$B$111,2)</f>
        <v>1171.67</v>
      </c>
      <c r="J29" s="21" t="s">
        <v>19</v>
      </c>
      <c r="K29" s="22">
        <f>+ROUND(K21*K23*$B$111/(LOOKUP(K22,$A$77:$A$111,$B$77:$B$111)),0)</f>
        <v>695794206</v>
      </c>
      <c r="L29" s="25">
        <f>+ROUND(K29/$B$111,2)</f>
        <v>792.65</v>
      </c>
    </row>
    <row r="30" spans="1:13" x14ac:dyDescent="0.25">
      <c r="D30" s="182"/>
    </row>
    <row r="31" spans="1:13" x14ac:dyDescent="0.25">
      <c r="A31" s="154" t="s">
        <v>26</v>
      </c>
      <c r="B31" s="10"/>
      <c r="D31" s="182"/>
      <c r="F31" s="26"/>
      <c r="G31" s="155" t="s">
        <v>26</v>
      </c>
      <c r="H31" s="156"/>
      <c r="I31" s="157"/>
      <c r="J31" s="158"/>
      <c r="K31" s="155" t="s">
        <v>26</v>
      </c>
      <c r="L31" s="156"/>
      <c r="M31" s="157"/>
    </row>
    <row r="32" spans="1:13" x14ac:dyDescent="0.25">
      <c r="A32" s="11"/>
      <c r="B32" s="12"/>
      <c r="D32" s="182"/>
      <c r="F32" s="24"/>
      <c r="G32" s="23"/>
      <c r="H32" s="18"/>
      <c r="J32" s="24"/>
      <c r="K32" s="23"/>
      <c r="L32" s="18"/>
    </row>
    <row r="33" spans="1:13" ht="15" customHeight="1" x14ac:dyDescent="0.25">
      <c r="A33" s="11" t="s">
        <v>22</v>
      </c>
      <c r="B33" s="12"/>
      <c r="F33" s="13" t="s">
        <v>23</v>
      </c>
      <c r="G33" s="179">
        <v>504845779</v>
      </c>
      <c r="H33" s="15" t="s">
        <v>15</v>
      </c>
      <c r="J33" s="13" t="s">
        <v>23</v>
      </c>
      <c r="K33" s="179">
        <f>87062940+4532400+36018000+9156000+9329760</f>
        <v>146099100</v>
      </c>
      <c r="L33" s="15" t="s">
        <v>15</v>
      </c>
    </row>
    <row r="34" spans="1:13" ht="15" customHeight="1" x14ac:dyDescent="0.25">
      <c r="A34" s="11" t="s">
        <v>24</v>
      </c>
      <c r="B34" s="12"/>
      <c r="F34" s="24"/>
      <c r="G34" s="23">
        <v>2012</v>
      </c>
      <c r="H34" s="348" t="s">
        <v>491</v>
      </c>
      <c r="J34" s="24"/>
      <c r="K34" s="23">
        <v>2016</v>
      </c>
      <c r="L34" s="348" t="s">
        <v>537</v>
      </c>
    </row>
    <row r="35" spans="1:13" x14ac:dyDescent="0.25">
      <c r="A35" s="16" t="s">
        <v>25</v>
      </c>
      <c r="B35" s="12"/>
      <c r="F35" s="49">
        <v>1</v>
      </c>
      <c r="G35" s="44">
        <v>1</v>
      </c>
      <c r="H35" s="348"/>
      <c r="J35" s="49">
        <v>1</v>
      </c>
      <c r="K35" s="17">
        <v>1</v>
      </c>
      <c r="L35" s="348"/>
    </row>
    <row r="36" spans="1:13" ht="20.100000000000001" customHeight="1" x14ac:dyDescent="0.25">
      <c r="A36" s="224"/>
      <c r="B36" s="225"/>
      <c r="F36" s="24"/>
      <c r="G36" s="17"/>
      <c r="H36" s="348"/>
      <c r="J36" s="24"/>
      <c r="K36" s="17"/>
      <c r="L36" s="348"/>
    </row>
    <row r="37" spans="1:13" ht="20.100000000000001" customHeight="1" x14ac:dyDescent="0.25">
      <c r="A37" s="224"/>
      <c r="B37" s="225"/>
      <c r="F37" s="24"/>
      <c r="G37" s="17"/>
      <c r="H37" s="348"/>
      <c r="J37" s="24"/>
      <c r="K37" s="17"/>
      <c r="L37" s="348"/>
    </row>
    <row r="38" spans="1:13" ht="20.100000000000001" customHeight="1" x14ac:dyDescent="0.25">
      <c r="A38" s="224"/>
      <c r="B38" s="225"/>
      <c r="F38" s="24"/>
      <c r="G38" s="17"/>
      <c r="H38" s="348"/>
      <c r="J38" s="24"/>
      <c r="K38" s="17"/>
      <c r="L38" s="348"/>
    </row>
    <row r="39" spans="1:13" ht="20.100000000000001" customHeight="1" x14ac:dyDescent="0.25">
      <c r="A39" s="224"/>
      <c r="B39" s="225"/>
      <c r="F39" s="24"/>
      <c r="G39" s="17"/>
      <c r="H39" s="348"/>
      <c r="J39" s="24"/>
      <c r="K39" s="17"/>
      <c r="L39" s="348"/>
    </row>
    <row r="40" spans="1:13" ht="20.100000000000001" customHeight="1" x14ac:dyDescent="0.25">
      <c r="A40" s="224"/>
      <c r="B40" s="225"/>
      <c r="F40" s="24"/>
      <c r="G40" s="17"/>
      <c r="H40" s="348"/>
      <c r="J40" s="24"/>
      <c r="K40" s="17"/>
      <c r="L40" s="348"/>
    </row>
    <row r="41" spans="1:13" x14ac:dyDescent="0.25">
      <c r="A41" s="19" t="s">
        <v>27</v>
      </c>
      <c r="B41" s="20"/>
      <c r="F41" s="21" t="s">
        <v>19</v>
      </c>
      <c r="G41" s="22">
        <f>+ROUND(G33*G35*$B$111/(LOOKUP(G34,$A$77:$A$111,$B$77:$B$111)),0)</f>
        <v>781992482</v>
      </c>
      <c r="H41" s="25">
        <f>IFERROR(ROUND(G41/$B$111,2),"")</f>
        <v>890.85</v>
      </c>
      <c r="J41" s="21" t="s">
        <v>19</v>
      </c>
      <c r="K41" s="22">
        <f>+ROUND(K33*K35*$B$111/(LOOKUP(K34,$A$77:$A$111,$B$77:$B$111)),0)</f>
        <v>186011290</v>
      </c>
      <c r="L41" s="25">
        <f>IFERROR(ROUND(K41/$B$111,2),"")</f>
        <v>211.91</v>
      </c>
    </row>
    <row r="43" spans="1:13" x14ac:dyDescent="0.25">
      <c r="A43" s="154" t="s">
        <v>69</v>
      </c>
      <c r="B43" s="10"/>
      <c r="F43" s="26"/>
      <c r="G43" s="155" t="s">
        <v>69</v>
      </c>
      <c r="H43" s="156"/>
      <c r="I43" s="157"/>
      <c r="J43" s="158"/>
      <c r="K43" s="155" t="s">
        <v>69</v>
      </c>
      <c r="L43" s="156"/>
      <c r="M43" s="157"/>
    </row>
    <row r="44" spans="1:13" x14ac:dyDescent="0.25">
      <c r="A44" s="11"/>
      <c r="B44" s="12"/>
      <c r="F44" s="24"/>
      <c r="G44" s="23"/>
      <c r="H44" s="18"/>
      <c r="J44" s="24"/>
      <c r="K44" s="23"/>
      <c r="L44" s="18"/>
    </row>
    <row r="45" spans="1:13" x14ac:dyDescent="0.25">
      <c r="A45" s="11" t="s">
        <v>22</v>
      </c>
      <c r="B45" s="12"/>
      <c r="F45" s="13" t="s">
        <v>23</v>
      </c>
      <c r="G45" s="14">
        <v>527322216</v>
      </c>
      <c r="H45" s="15" t="s">
        <v>15</v>
      </c>
      <c r="J45" s="13" t="s">
        <v>23</v>
      </c>
      <c r="K45" s="14">
        <v>0</v>
      </c>
      <c r="L45" s="329"/>
    </row>
    <row r="46" spans="1:13" ht="15" customHeight="1" x14ac:dyDescent="0.25">
      <c r="A46" s="11" t="s">
        <v>24</v>
      </c>
      <c r="B46" s="12"/>
      <c r="F46" s="24"/>
      <c r="G46" s="23">
        <v>2011</v>
      </c>
      <c r="H46" s="348" t="s">
        <v>492</v>
      </c>
      <c r="J46" s="24"/>
      <c r="K46" s="23">
        <v>2000</v>
      </c>
      <c r="L46" s="348" t="s">
        <v>538</v>
      </c>
    </row>
    <row r="47" spans="1:13" x14ac:dyDescent="0.25">
      <c r="A47" s="16" t="s">
        <v>25</v>
      </c>
      <c r="B47" s="12"/>
      <c r="F47" s="49">
        <v>1</v>
      </c>
      <c r="G47" s="17">
        <v>1</v>
      </c>
      <c r="H47" s="348"/>
      <c r="J47" s="49">
        <v>0</v>
      </c>
      <c r="K47" s="17">
        <v>0</v>
      </c>
      <c r="L47" s="348"/>
    </row>
    <row r="48" spans="1:13" x14ac:dyDescent="0.25">
      <c r="A48" s="16"/>
      <c r="B48" s="12"/>
      <c r="F48" s="24"/>
      <c r="G48" s="17"/>
      <c r="H48" s="348"/>
      <c r="J48" s="24"/>
      <c r="K48" s="17"/>
      <c r="L48" s="348"/>
    </row>
    <row r="49" spans="1:12" ht="15" customHeight="1" x14ac:dyDescent="0.25">
      <c r="A49" s="16"/>
      <c r="B49" s="12"/>
      <c r="F49" s="24"/>
      <c r="G49" s="17"/>
      <c r="H49" s="348"/>
      <c r="J49" s="24"/>
      <c r="K49" s="17"/>
      <c r="L49" s="348"/>
    </row>
    <row r="50" spans="1:12" x14ac:dyDescent="0.25">
      <c r="A50" s="16"/>
      <c r="B50" s="12"/>
      <c r="F50" s="24"/>
      <c r="G50" s="17"/>
      <c r="H50" s="348"/>
      <c r="J50" s="24"/>
      <c r="K50" s="17"/>
      <c r="L50" s="348"/>
    </row>
    <row r="51" spans="1:12" x14ac:dyDescent="0.25">
      <c r="A51" s="16"/>
      <c r="B51" s="12"/>
      <c r="F51" s="24"/>
      <c r="G51" s="17"/>
      <c r="H51" s="348"/>
      <c r="J51" s="24"/>
      <c r="K51" s="17"/>
      <c r="L51" s="348"/>
    </row>
    <row r="52" spans="1:12" x14ac:dyDescent="0.25">
      <c r="A52" s="11"/>
      <c r="B52" s="12"/>
      <c r="F52" s="24"/>
      <c r="G52" s="17"/>
      <c r="H52" s="348"/>
      <c r="J52" s="24"/>
      <c r="K52" s="17"/>
      <c r="L52" s="348"/>
    </row>
    <row r="53" spans="1:12" x14ac:dyDescent="0.25">
      <c r="A53" s="19" t="s">
        <v>27</v>
      </c>
      <c r="B53" s="20"/>
      <c r="F53" s="21" t="s">
        <v>19</v>
      </c>
      <c r="G53" s="22">
        <f>+ROUND(G45*G47*$B$111/(LOOKUP(G46,$A$77:$A$111,$B$77:$B$111)),0)</f>
        <v>864236414</v>
      </c>
      <c r="H53" s="25">
        <f>IFERROR(ROUND(G53/$B$111,2),"")</f>
        <v>984.54</v>
      </c>
      <c r="J53" s="21" t="s">
        <v>19</v>
      </c>
      <c r="K53" s="22">
        <f>+ROUND(K45*K47*$B$111/(LOOKUP(K46,$A$77:$A$111,$B$77:$B$111)),0)</f>
        <v>0</v>
      </c>
      <c r="L53" s="25">
        <f>IFERROR(ROUND(K53/$B$111,2),"")</f>
        <v>0</v>
      </c>
    </row>
    <row r="56" spans="1:12" ht="15.75" x14ac:dyDescent="0.25">
      <c r="A56" s="31" t="s">
        <v>35</v>
      </c>
    </row>
    <row r="57" spans="1:12" x14ac:dyDescent="0.25">
      <c r="A57" s="38"/>
    </row>
    <row r="58" spans="1:12" x14ac:dyDescent="0.25">
      <c r="A58" s="38"/>
    </row>
    <row r="59" spans="1:12" ht="15.75" x14ac:dyDescent="0.25">
      <c r="A59" s="40"/>
    </row>
    <row r="60" spans="1:12" ht="15.75" x14ac:dyDescent="0.25">
      <c r="A60" s="41" t="s">
        <v>36</v>
      </c>
    </row>
    <row r="61" spans="1:12" ht="15.75" x14ac:dyDescent="0.25">
      <c r="A61" s="42" t="s">
        <v>91</v>
      </c>
    </row>
    <row r="62" spans="1:12" ht="15.75" x14ac:dyDescent="0.25">
      <c r="A62" s="42"/>
    </row>
    <row r="63" spans="1:12" ht="15.75" x14ac:dyDescent="0.25">
      <c r="A63" s="42"/>
    </row>
    <row r="64" spans="1:12" ht="15.75" x14ac:dyDescent="0.25">
      <c r="A64" s="42"/>
    </row>
    <row r="65" spans="1:2" ht="15.75" x14ac:dyDescent="0.25">
      <c r="A65" s="41" t="s">
        <v>514</v>
      </c>
    </row>
    <row r="66" spans="1:2" ht="15.75" x14ac:dyDescent="0.25">
      <c r="A66" s="42" t="s">
        <v>91</v>
      </c>
    </row>
    <row r="67" spans="1:2" ht="15.75" x14ac:dyDescent="0.25">
      <c r="A67" s="42"/>
    </row>
    <row r="68" spans="1:2" ht="15.75" x14ac:dyDescent="0.25">
      <c r="A68" s="42"/>
    </row>
    <row r="69" spans="1:2" ht="15.75" x14ac:dyDescent="0.25">
      <c r="A69" s="42"/>
    </row>
    <row r="70" spans="1:2" ht="15.75" x14ac:dyDescent="0.25">
      <c r="A70" s="41" t="s">
        <v>37</v>
      </c>
    </row>
    <row r="71" spans="1:2" ht="15.75" x14ac:dyDescent="0.25">
      <c r="A71" s="42" t="s">
        <v>38</v>
      </c>
    </row>
    <row r="72" spans="1:2" ht="15.75" x14ac:dyDescent="0.25">
      <c r="A72" s="42" t="s">
        <v>39</v>
      </c>
    </row>
    <row r="77" spans="1:2" ht="16.5" x14ac:dyDescent="0.3">
      <c r="A77" s="27">
        <v>1986</v>
      </c>
      <c r="B77" s="88">
        <v>16811</v>
      </c>
    </row>
    <row r="78" spans="1:2" ht="16.5" x14ac:dyDescent="0.3">
      <c r="A78" s="27">
        <v>1987</v>
      </c>
      <c r="B78" s="88">
        <v>20510</v>
      </c>
    </row>
    <row r="79" spans="1:2" ht="16.5" x14ac:dyDescent="0.3">
      <c r="A79" s="27">
        <v>1988</v>
      </c>
      <c r="B79" s="88">
        <v>25637</v>
      </c>
    </row>
    <row r="80" spans="1:2" ht="16.5" x14ac:dyDescent="0.3">
      <c r="A80" s="27">
        <v>1989</v>
      </c>
      <c r="B80" s="88">
        <v>32560</v>
      </c>
    </row>
    <row r="81" spans="1:2" ht="16.5" x14ac:dyDescent="0.3">
      <c r="A81" s="27">
        <v>1990</v>
      </c>
      <c r="B81" s="88">
        <v>41025</v>
      </c>
    </row>
    <row r="82" spans="1:2" ht="16.5" x14ac:dyDescent="0.3">
      <c r="A82" s="27">
        <v>1991</v>
      </c>
      <c r="B82" s="88">
        <v>51716</v>
      </c>
    </row>
    <row r="83" spans="1:2" ht="16.5" x14ac:dyDescent="0.3">
      <c r="A83" s="27">
        <v>1992</v>
      </c>
      <c r="B83" s="88">
        <v>65190</v>
      </c>
    </row>
    <row r="84" spans="1:2" ht="16.5" x14ac:dyDescent="0.3">
      <c r="A84" s="27">
        <v>1993</v>
      </c>
      <c r="B84" s="88">
        <v>81510</v>
      </c>
    </row>
    <row r="85" spans="1:2" ht="16.5" x14ac:dyDescent="0.3">
      <c r="A85" s="27">
        <v>1994</v>
      </c>
      <c r="B85" s="88">
        <v>98700</v>
      </c>
    </row>
    <row r="86" spans="1:2" ht="16.5" x14ac:dyDescent="0.3">
      <c r="A86" s="27">
        <v>1995</v>
      </c>
      <c r="B86" s="88">
        <v>118934</v>
      </c>
    </row>
    <row r="87" spans="1:2" ht="16.5" x14ac:dyDescent="0.3">
      <c r="A87" s="27">
        <v>1996</v>
      </c>
      <c r="B87" s="88">
        <v>142125</v>
      </c>
    </row>
    <row r="88" spans="1:2" ht="16.5" x14ac:dyDescent="0.3">
      <c r="A88" s="27">
        <v>1997</v>
      </c>
      <c r="B88" s="88">
        <v>172005</v>
      </c>
    </row>
    <row r="89" spans="1:2" ht="16.5" x14ac:dyDescent="0.3">
      <c r="A89" s="27">
        <v>1998</v>
      </c>
      <c r="B89" s="88">
        <v>203826</v>
      </c>
    </row>
    <row r="90" spans="1:2" ht="16.5" x14ac:dyDescent="0.3">
      <c r="A90" s="27">
        <v>1999</v>
      </c>
      <c r="B90" s="88">
        <v>236460</v>
      </c>
    </row>
    <row r="91" spans="1:2" ht="16.5" x14ac:dyDescent="0.3">
      <c r="A91" s="27">
        <v>2000</v>
      </c>
      <c r="B91" s="88">
        <v>260100</v>
      </c>
    </row>
    <row r="92" spans="1:2" ht="16.5" x14ac:dyDescent="0.3">
      <c r="A92" s="27">
        <v>2001</v>
      </c>
      <c r="B92" s="88">
        <v>286000</v>
      </c>
    </row>
    <row r="93" spans="1:2" ht="16.5" x14ac:dyDescent="0.3">
      <c r="A93" s="27">
        <v>2002</v>
      </c>
      <c r="B93" s="88">
        <v>309000</v>
      </c>
    </row>
    <row r="94" spans="1:2" ht="16.5" x14ac:dyDescent="0.3">
      <c r="A94" s="27">
        <v>2003</v>
      </c>
      <c r="B94" s="88">
        <v>332000</v>
      </c>
    </row>
    <row r="95" spans="1:2" ht="16.5" x14ac:dyDescent="0.3">
      <c r="A95" s="27">
        <v>2004</v>
      </c>
      <c r="B95" s="88">
        <v>358000</v>
      </c>
    </row>
    <row r="96" spans="1:2" ht="16.5" x14ac:dyDescent="0.3">
      <c r="A96" s="27">
        <v>2005</v>
      </c>
      <c r="B96" s="88">
        <v>381500</v>
      </c>
    </row>
    <row r="97" spans="1:2" ht="16.5" x14ac:dyDescent="0.3">
      <c r="A97" s="27">
        <v>2006</v>
      </c>
      <c r="B97" s="88">
        <v>408000</v>
      </c>
    </row>
    <row r="98" spans="1:2" ht="16.5" x14ac:dyDescent="0.3">
      <c r="A98" s="27">
        <v>2007</v>
      </c>
      <c r="B98" s="88">
        <v>433700</v>
      </c>
    </row>
    <row r="99" spans="1:2" ht="16.5" x14ac:dyDescent="0.3">
      <c r="A99" s="27">
        <v>2008</v>
      </c>
      <c r="B99" s="88">
        <v>461500</v>
      </c>
    </row>
    <row r="100" spans="1:2" ht="16.5" x14ac:dyDescent="0.3">
      <c r="A100" s="27">
        <v>2009</v>
      </c>
      <c r="B100" s="88">
        <v>496900</v>
      </c>
    </row>
    <row r="101" spans="1:2" ht="16.5" x14ac:dyDescent="0.3">
      <c r="A101" s="27">
        <v>2010</v>
      </c>
      <c r="B101" s="88">
        <v>515000</v>
      </c>
    </row>
    <row r="102" spans="1:2" ht="16.5" x14ac:dyDescent="0.3">
      <c r="A102" s="27">
        <v>2011</v>
      </c>
      <c r="B102" s="88">
        <v>535600</v>
      </c>
    </row>
    <row r="103" spans="1:2" ht="16.5" x14ac:dyDescent="0.3">
      <c r="A103" s="27">
        <v>2012</v>
      </c>
      <c r="B103" s="88">
        <v>566700</v>
      </c>
    </row>
    <row r="104" spans="1:2" ht="16.5" x14ac:dyDescent="0.3">
      <c r="A104" s="27">
        <v>2013</v>
      </c>
      <c r="B104" s="88">
        <v>589500</v>
      </c>
    </row>
    <row r="105" spans="1:2" ht="16.5" x14ac:dyDescent="0.3">
      <c r="A105" s="27">
        <v>2014</v>
      </c>
      <c r="B105" s="88">
        <v>616000</v>
      </c>
    </row>
    <row r="106" spans="1:2" ht="16.5" x14ac:dyDescent="0.3">
      <c r="A106" s="27">
        <v>2015</v>
      </c>
      <c r="B106" s="88">
        <v>644350</v>
      </c>
    </row>
    <row r="107" spans="1:2" ht="16.5" x14ac:dyDescent="0.3">
      <c r="A107" s="27">
        <v>2016</v>
      </c>
      <c r="B107" s="88">
        <v>689454</v>
      </c>
    </row>
    <row r="108" spans="1:2" ht="16.5" x14ac:dyDescent="0.3">
      <c r="A108" s="27">
        <v>2017</v>
      </c>
      <c r="B108" s="88">
        <v>737717</v>
      </c>
    </row>
    <row r="109" spans="1:2" ht="16.5" x14ac:dyDescent="0.3">
      <c r="A109" s="27">
        <v>2018</v>
      </c>
      <c r="B109" s="88">
        <v>781242</v>
      </c>
    </row>
    <row r="110" spans="1:2" ht="16.5" x14ac:dyDescent="0.3">
      <c r="A110" s="27">
        <v>2019</v>
      </c>
      <c r="B110" s="88">
        <v>828116</v>
      </c>
    </row>
    <row r="111" spans="1:2" ht="16.5" x14ac:dyDescent="0.3">
      <c r="A111" s="27">
        <v>2020</v>
      </c>
      <c r="B111" s="88">
        <v>877803</v>
      </c>
    </row>
  </sheetData>
  <mergeCells count="15">
    <mergeCell ref="H46:H52"/>
    <mergeCell ref="L46:L52"/>
    <mergeCell ref="H34:H40"/>
    <mergeCell ref="L34:L40"/>
    <mergeCell ref="A1:B2"/>
    <mergeCell ref="A4:B4"/>
    <mergeCell ref="L22:L28"/>
    <mergeCell ref="H22:H28"/>
    <mergeCell ref="A15:B17"/>
    <mergeCell ref="D15:D17"/>
    <mergeCell ref="A13:B13"/>
    <mergeCell ref="A9:B11"/>
    <mergeCell ref="D9:D11"/>
    <mergeCell ref="H15:H17"/>
    <mergeCell ref="L15:L17"/>
  </mergeCells>
  <conditionalFormatting sqref="H13">
    <cfRule type="cellIs" dxfId="70" priority="7" operator="equal">
      <formula>"CUMPLE"</formula>
    </cfRule>
    <cfRule type="cellIs" dxfId="69" priority="434" operator="equal">
      <formula>"NO CUMPLE"</formula>
    </cfRule>
  </conditionalFormatting>
  <conditionalFormatting sqref="H9:H11">
    <cfRule type="cellIs" dxfId="68" priority="422" operator="equal">
      <formula>"NO CUMPLE"</formula>
    </cfRule>
  </conditionalFormatting>
  <conditionalFormatting sqref="L9:L11">
    <cfRule type="cellIs" dxfId="67" priority="420" operator="equal">
      <formula>"NO CUMPLE"</formula>
    </cfRule>
  </conditionalFormatting>
  <conditionalFormatting sqref="L8">
    <cfRule type="cellIs" dxfId="66" priority="165" operator="equal">
      <formula>"NO CUMPLE"</formula>
    </cfRule>
  </conditionalFormatting>
  <conditionalFormatting sqref="L14">
    <cfRule type="cellIs" dxfId="65" priority="96" operator="equal">
      <formula>"NO CUMPLE"</formula>
    </cfRule>
  </conditionalFormatting>
  <conditionalFormatting sqref="L14">
    <cfRule type="cellIs" dxfId="64" priority="95" operator="equal">
      <formula>"NO"</formula>
    </cfRule>
  </conditionalFormatting>
  <conditionalFormatting sqref="H15:H17">
    <cfRule type="cellIs" dxfId="63" priority="1" operator="equal">
      <formula>"CUMPLE"</formula>
    </cfRule>
    <cfRule type="cellIs" dxfId="62" priority="28" operator="equal">
      <formula>"NO CUMPLE"</formula>
    </cfRule>
  </conditionalFormatting>
  <conditionalFormatting sqref="H4">
    <cfRule type="cellIs" dxfId="61" priority="410" operator="equal">
      <formula>"NO CUMPLE"</formula>
    </cfRule>
    <cfRule type="cellIs" dxfId="60" priority="411" operator="equal">
      <formula>"CUMPLE"</formula>
    </cfRule>
  </conditionalFormatting>
  <conditionalFormatting sqref="L4">
    <cfRule type="cellIs" dxfId="59" priority="24" operator="equal">
      <formula>"NO CUMPLE"</formula>
    </cfRule>
    <cfRule type="cellIs" dxfId="58" priority="25" operator="equal">
      <formula>"CUMPLE"</formula>
    </cfRule>
  </conditionalFormatting>
  <conditionalFormatting sqref="L13">
    <cfRule type="cellIs" dxfId="57" priority="11" operator="equal">
      <formula>"NO CUMPLE"</formula>
    </cfRule>
  </conditionalFormatting>
  <conditionalFormatting sqref="L13">
    <cfRule type="cellIs" dxfId="56" priority="10" operator="equal">
      <formula>"CUMPLE"</formula>
    </cfRule>
  </conditionalFormatting>
  <conditionalFormatting sqref="L15:L17">
    <cfRule type="cellIs" dxfId="55" priority="2" operator="equal">
      <formula>"CUMPLE"</formula>
    </cfRule>
    <cfRule type="cellIs" dxfId="54" priority="5" operator="equal">
      <formula>"NO CUMPLE"</formula>
    </cfRule>
  </conditionalFormatting>
  <pageMargins left="0.47244094488188981" right="0.47244094488188981" top="0.59055118110236227" bottom="0.59055118110236227" header="0.31496062992125984" footer="0.31496062992125984"/>
  <pageSetup scale="4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1"/>
  <sheetViews>
    <sheetView view="pageBreakPreview" topLeftCell="A21" zoomScale="80" zoomScaleNormal="80" zoomScaleSheetLayoutView="80" workbookViewId="0">
      <selection activeCell="G9" sqref="G9:I9"/>
    </sheetView>
  </sheetViews>
  <sheetFormatPr baseColWidth="10" defaultColWidth="11.42578125" defaultRowHeight="12.75" x14ac:dyDescent="0.2"/>
  <cols>
    <col min="1" max="1" width="11.42578125" style="94"/>
    <col min="2" max="2" width="130.7109375" style="94" customWidth="1"/>
    <col min="3" max="3" width="16" style="105" customWidth="1"/>
    <col min="4" max="4" width="16" style="94" customWidth="1"/>
    <col min="5" max="5" width="80.7109375" style="94" customWidth="1"/>
    <col min="6" max="7" width="15.7109375" style="94" customWidth="1"/>
    <col min="8" max="8" width="80.7109375" style="94" customWidth="1"/>
    <col min="9" max="9" width="15.7109375" style="94" customWidth="1"/>
    <col min="10" max="16384" width="11.42578125" style="94"/>
  </cols>
  <sheetData>
    <row r="1" spans="1:9" s="29" customFormat="1" ht="15.75" x14ac:dyDescent="0.25">
      <c r="A1" s="347" t="s">
        <v>28</v>
      </c>
      <c r="B1" s="347"/>
      <c r="C1" s="347"/>
      <c r="D1" s="28"/>
    </row>
    <row r="2" spans="1:9" s="29" customFormat="1" ht="15.75" x14ac:dyDescent="0.25">
      <c r="A2" s="347" t="s">
        <v>29</v>
      </c>
      <c r="B2" s="347"/>
      <c r="C2" s="347"/>
      <c r="D2" s="28"/>
    </row>
    <row r="3" spans="1:9" s="29" customFormat="1" x14ac:dyDescent="0.25">
      <c r="A3" s="346"/>
      <c r="B3" s="346"/>
      <c r="C3" s="346"/>
      <c r="D3" s="30"/>
    </row>
    <row r="4" spans="1:9" s="29" customFormat="1" ht="15.75" x14ac:dyDescent="0.25">
      <c r="A4" s="347" t="str">
        <f>+'VERIFICACIÓN TÉCNICA'!A4</f>
        <v>CONVOCATORIA PÚBLICA N° 024 DE 2020</v>
      </c>
      <c r="B4" s="347"/>
      <c r="C4" s="347"/>
      <c r="D4" s="28"/>
    </row>
    <row r="5" spans="1:9" s="29" customFormat="1" ht="33" customHeight="1" x14ac:dyDescent="0.25">
      <c r="A5" s="392" t="str">
        <f>+'VERIFICACIÓN TÉCNICA'!A7</f>
        <v>OBJETO: OBRA PARA ADECUACIONES FÍSICAS PARA EL FORTALECIMIENTO DE LA INFRAESTRUCTURA TECNOLÓGICA DE LA UNIVERSIDAD DEL CAUCA.</v>
      </c>
      <c r="B5" s="392"/>
      <c r="C5" s="392"/>
      <c r="D5" s="110"/>
    </row>
    <row r="6" spans="1:9" s="29" customFormat="1" ht="15.75" x14ac:dyDescent="0.25">
      <c r="A6" s="392"/>
      <c r="B6" s="392"/>
      <c r="C6" s="392"/>
      <c r="D6" s="180"/>
    </row>
    <row r="7" spans="1:9" s="29" customFormat="1" ht="15.75" x14ac:dyDescent="0.25">
      <c r="A7" s="347" t="s">
        <v>106</v>
      </c>
      <c r="B7" s="347"/>
      <c r="C7" s="347"/>
      <c r="D7" s="28"/>
    </row>
    <row r="8" spans="1:9" s="91" customFormat="1" x14ac:dyDescent="0.2">
      <c r="A8" s="89"/>
      <c r="B8" s="90"/>
      <c r="C8" s="103"/>
      <c r="D8" s="90"/>
      <c r="E8" s="90"/>
      <c r="F8" s="90"/>
      <c r="G8" s="90"/>
      <c r="H8" s="90"/>
      <c r="I8" s="90"/>
    </row>
    <row r="9" spans="1:9" ht="15" x14ac:dyDescent="0.2">
      <c r="A9" s="92"/>
      <c r="B9" s="93"/>
      <c r="C9" s="104"/>
      <c r="D9" s="375">
        <v>1</v>
      </c>
      <c r="E9" s="376"/>
      <c r="F9" s="377"/>
      <c r="G9" s="375">
        <v>2</v>
      </c>
      <c r="H9" s="387"/>
      <c r="I9" s="388"/>
    </row>
    <row r="10" spans="1:9" ht="62.25" customHeight="1" x14ac:dyDescent="0.2">
      <c r="A10" s="393" t="s">
        <v>72</v>
      </c>
      <c r="B10" s="395" t="s">
        <v>31</v>
      </c>
      <c r="C10" s="370" t="s">
        <v>90</v>
      </c>
      <c r="D10" s="372" t="str">
        <f>+'VERIFICACIÓN TÉCNICA'!C10</f>
        <v>ALCALA SAS</v>
      </c>
      <c r="E10" s="373"/>
      <c r="F10" s="374"/>
      <c r="G10" s="372" t="str">
        <f>+'VERIFICACIÓN TÉCNICA'!E10</f>
        <v>POLIOBRAS SAS</v>
      </c>
      <c r="H10" s="373"/>
      <c r="I10" s="374"/>
    </row>
    <row r="11" spans="1:9" x14ac:dyDescent="0.2">
      <c r="A11" s="394"/>
      <c r="B11" s="396"/>
      <c r="C11" s="371"/>
      <c r="D11" s="111" t="s">
        <v>32</v>
      </c>
      <c r="E11" s="95" t="str">
        <f>'[23]VERIFICACION TECNICA'!F11</f>
        <v>VALOR/ OBSERVACION</v>
      </c>
      <c r="F11" s="95" t="s">
        <v>73</v>
      </c>
      <c r="G11" s="96" t="s">
        <v>32</v>
      </c>
      <c r="H11" s="95" t="s">
        <v>33</v>
      </c>
      <c r="I11" s="96" t="s">
        <v>73</v>
      </c>
    </row>
    <row r="12" spans="1:9" s="118" customFormat="1" ht="25.5" x14ac:dyDescent="0.2">
      <c r="A12" s="113" t="s">
        <v>530</v>
      </c>
      <c r="B12" s="114" t="s">
        <v>517</v>
      </c>
      <c r="C12" s="115"/>
      <c r="D12" s="116"/>
      <c r="E12" s="117"/>
      <c r="F12" s="117"/>
      <c r="G12" s="117"/>
      <c r="H12" s="117"/>
      <c r="I12" s="117"/>
    </row>
    <row r="13" spans="1:9" ht="90" customHeight="1" x14ac:dyDescent="0.2">
      <c r="A13" s="389" t="s">
        <v>516</v>
      </c>
      <c r="B13" s="196" t="s">
        <v>522</v>
      </c>
      <c r="C13" s="381">
        <v>200</v>
      </c>
      <c r="D13" s="98" t="s">
        <v>87</v>
      </c>
      <c r="E13" s="220" t="s">
        <v>523</v>
      </c>
      <c r="F13" s="384">
        <v>0</v>
      </c>
      <c r="G13" s="97" t="s">
        <v>87</v>
      </c>
      <c r="H13" s="220" t="s">
        <v>562</v>
      </c>
      <c r="I13" s="384">
        <v>0</v>
      </c>
    </row>
    <row r="14" spans="1:9" ht="99" customHeight="1" x14ac:dyDescent="0.2">
      <c r="A14" s="390"/>
      <c r="B14" s="197" t="s">
        <v>518</v>
      </c>
      <c r="C14" s="382"/>
      <c r="D14" s="195" t="s">
        <v>87</v>
      </c>
      <c r="E14" s="221" t="s">
        <v>524</v>
      </c>
      <c r="F14" s="385"/>
      <c r="G14" s="198" t="s">
        <v>89</v>
      </c>
      <c r="H14" s="221" t="s">
        <v>564</v>
      </c>
      <c r="I14" s="385"/>
    </row>
    <row r="15" spans="1:9" ht="409.6" customHeight="1" x14ac:dyDescent="0.2">
      <c r="A15" s="390"/>
      <c r="B15" s="197" t="s">
        <v>519</v>
      </c>
      <c r="C15" s="382"/>
      <c r="D15" s="195" t="s">
        <v>89</v>
      </c>
      <c r="E15" s="217" t="s">
        <v>579</v>
      </c>
      <c r="F15" s="385"/>
      <c r="G15" s="198" t="s">
        <v>89</v>
      </c>
      <c r="H15" s="217" t="s">
        <v>583</v>
      </c>
      <c r="I15" s="385"/>
    </row>
    <row r="16" spans="1:9" ht="150" customHeight="1" x14ac:dyDescent="0.2">
      <c r="A16" s="391"/>
      <c r="B16" s="197" t="s">
        <v>520</v>
      </c>
      <c r="C16" s="383"/>
      <c r="D16" s="195" t="s">
        <v>87</v>
      </c>
      <c r="E16" s="216" t="s">
        <v>525</v>
      </c>
      <c r="F16" s="386"/>
      <c r="G16" s="198" t="s">
        <v>89</v>
      </c>
      <c r="H16" s="216" t="s">
        <v>563</v>
      </c>
      <c r="I16" s="386"/>
    </row>
    <row r="17" spans="1:9" s="118" customFormat="1" ht="15.75" x14ac:dyDescent="0.2">
      <c r="A17" s="113" t="s">
        <v>529</v>
      </c>
      <c r="B17" s="114" t="s">
        <v>104</v>
      </c>
      <c r="C17" s="200"/>
      <c r="D17" s="201"/>
      <c r="E17" s="219"/>
      <c r="F17" s="202"/>
      <c r="G17" s="202"/>
      <c r="H17" s="219"/>
      <c r="I17" s="202"/>
    </row>
    <row r="18" spans="1:9" ht="249.75" customHeight="1" x14ac:dyDescent="0.2">
      <c r="A18" s="389" t="s">
        <v>105</v>
      </c>
      <c r="B18" s="397" t="s">
        <v>526</v>
      </c>
      <c r="C18" s="381">
        <v>100</v>
      </c>
      <c r="D18" s="195" t="s">
        <v>89</v>
      </c>
      <c r="E18" s="217" t="s">
        <v>580</v>
      </c>
      <c r="F18" s="384">
        <v>0</v>
      </c>
      <c r="G18" s="194" t="s">
        <v>89</v>
      </c>
      <c r="H18" s="217" t="s">
        <v>584</v>
      </c>
      <c r="I18" s="384">
        <v>0</v>
      </c>
    </row>
    <row r="19" spans="1:9" ht="252" customHeight="1" x14ac:dyDescent="0.2">
      <c r="A19" s="390"/>
      <c r="B19" s="398"/>
      <c r="C19" s="382"/>
      <c r="D19" s="321" t="s">
        <v>89</v>
      </c>
      <c r="E19" s="325" t="s">
        <v>581</v>
      </c>
      <c r="F19" s="385"/>
      <c r="G19" s="322" t="s">
        <v>89</v>
      </c>
      <c r="H19" s="325" t="s">
        <v>585</v>
      </c>
      <c r="I19" s="385"/>
    </row>
    <row r="20" spans="1:9" ht="99" customHeight="1" x14ac:dyDescent="0.2">
      <c r="A20" s="390"/>
      <c r="B20" s="199" t="s">
        <v>558</v>
      </c>
      <c r="C20" s="382"/>
      <c r="D20" s="195" t="s">
        <v>88</v>
      </c>
      <c r="E20" s="216" t="s">
        <v>88</v>
      </c>
      <c r="F20" s="385"/>
      <c r="G20" s="194" t="s">
        <v>88</v>
      </c>
      <c r="H20" s="216" t="s">
        <v>88</v>
      </c>
      <c r="I20" s="385"/>
    </row>
    <row r="21" spans="1:9" ht="196.5" customHeight="1" x14ac:dyDescent="0.2">
      <c r="A21" s="391"/>
      <c r="B21" s="197" t="s">
        <v>521</v>
      </c>
      <c r="C21" s="383"/>
      <c r="D21" s="195" t="s">
        <v>87</v>
      </c>
      <c r="E21" s="222" t="s">
        <v>532</v>
      </c>
      <c r="F21" s="386"/>
      <c r="G21" s="194" t="s">
        <v>87</v>
      </c>
      <c r="H21" s="222" t="s">
        <v>559</v>
      </c>
      <c r="I21" s="386"/>
    </row>
    <row r="22" spans="1:9" s="118" customFormat="1" ht="16.5" x14ac:dyDescent="0.2">
      <c r="A22" s="113" t="s">
        <v>528</v>
      </c>
      <c r="B22" s="114" t="s">
        <v>527</v>
      </c>
      <c r="C22" s="200"/>
      <c r="D22" s="201"/>
      <c r="E22" s="219"/>
      <c r="F22" s="202"/>
      <c r="G22" s="202"/>
      <c r="H22" s="203"/>
      <c r="I22" s="202"/>
    </row>
    <row r="23" spans="1:9" ht="48" customHeight="1" x14ac:dyDescent="0.2">
      <c r="A23" s="324"/>
      <c r="B23" s="197" t="s">
        <v>531</v>
      </c>
      <c r="C23" s="326">
        <v>100</v>
      </c>
      <c r="D23" s="195" t="s">
        <v>87</v>
      </c>
      <c r="E23" s="222" t="s">
        <v>560</v>
      </c>
      <c r="F23" s="327">
        <v>0</v>
      </c>
      <c r="G23" s="194" t="s">
        <v>89</v>
      </c>
      <c r="H23" s="222" t="s">
        <v>561</v>
      </c>
      <c r="I23" s="327">
        <v>0</v>
      </c>
    </row>
    <row r="24" spans="1:9" ht="18" customHeight="1" x14ac:dyDescent="0.2">
      <c r="A24" s="112"/>
      <c r="B24" s="99" t="s">
        <v>109</v>
      </c>
      <c r="C24" s="204">
        <f>SUM(C13:C23)</f>
        <v>400</v>
      </c>
      <c r="D24" s="367" t="s">
        <v>582</v>
      </c>
      <c r="E24" s="368"/>
      <c r="F24" s="369"/>
      <c r="G24" s="378">
        <f>SUM(I13:I23)</f>
        <v>0</v>
      </c>
      <c r="H24" s="379"/>
      <c r="I24" s="380"/>
    </row>
    <row r="26" spans="1:9" ht="15.75" x14ac:dyDescent="0.2">
      <c r="B26" s="31" t="s">
        <v>35</v>
      </c>
      <c r="C26" s="36"/>
      <c r="D26" s="31"/>
    </row>
    <row r="27" spans="1:9" ht="15.75" x14ac:dyDescent="0.2">
      <c r="B27" s="38"/>
      <c r="C27" s="36"/>
      <c r="D27" s="31"/>
    </row>
    <row r="28" spans="1:9" ht="15.75" x14ac:dyDescent="0.2">
      <c r="B28" s="38"/>
      <c r="C28" s="36"/>
      <c r="D28" s="31"/>
    </row>
    <row r="29" spans="1:9" ht="15.75" x14ac:dyDescent="0.2">
      <c r="B29" s="38"/>
      <c r="C29" s="36"/>
      <c r="D29" s="31"/>
    </row>
    <row r="30" spans="1:9" ht="15.75" x14ac:dyDescent="0.2">
      <c r="B30" s="40"/>
    </row>
    <row r="31" spans="1:9" s="34" customFormat="1" ht="15.75" x14ac:dyDescent="0.2">
      <c r="A31" s="37"/>
      <c r="B31" s="41" t="s">
        <v>36</v>
      </c>
      <c r="C31" s="38"/>
      <c r="D31" s="39"/>
      <c r="E31" s="39"/>
      <c r="F31" s="38"/>
      <c r="G31" s="39"/>
      <c r="H31" s="38"/>
      <c r="I31" s="39"/>
    </row>
    <row r="32" spans="1:9" s="34" customFormat="1" ht="15.75" x14ac:dyDescent="0.25">
      <c r="A32" s="37"/>
      <c r="B32" s="42" t="s">
        <v>91</v>
      </c>
      <c r="C32" s="38"/>
      <c r="D32" s="39"/>
      <c r="E32" s="39"/>
      <c r="F32" s="38"/>
      <c r="G32" s="39"/>
      <c r="H32" s="38"/>
      <c r="I32" s="39"/>
    </row>
    <row r="33" spans="1:9" s="34" customFormat="1" ht="15.75" x14ac:dyDescent="0.25">
      <c r="A33" s="37"/>
      <c r="B33" s="42"/>
      <c r="C33" s="38"/>
      <c r="D33" s="39"/>
      <c r="E33" s="39"/>
      <c r="F33" s="38"/>
      <c r="G33" s="39"/>
      <c r="H33" s="38"/>
      <c r="I33" s="39"/>
    </row>
    <row r="34" spans="1:9" s="34" customFormat="1" ht="15.75" x14ac:dyDescent="0.25">
      <c r="A34" s="37"/>
      <c r="B34" s="42"/>
      <c r="C34" s="38"/>
      <c r="D34" s="39"/>
      <c r="E34" s="39"/>
      <c r="F34" s="38"/>
      <c r="G34" s="39"/>
      <c r="H34" s="38"/>
      <c r="I34" s="39"/>
    </row>
    <row r="35" spans="1:9" s="34" customFormat="1" ht="15.75" x14ac:dyDescent="0.25">
      <c r="A35" s="37"/>
      <c r="B35" s="42"/>
      <c r="C35" s="38"/>
      <c r="D35" s="39"/>
      <c r="E35" s="39"/>
      <c r="F35" s="38"/>
      <c r="G35" s="39"/>
      <c r="H35" s="38"/>
      <c r="I35" s="39"/>
    </row>
    <row r="36" spans="1:9" ht="15.75" x14ac:dyDescent="0.25">
      <c r="A36" s="100"/>
      <c r="B36" s="42"/>
      <c r="C36" s="60"/>
      <c r="D36" s="101"/>
      <c r="E36" s="38"/>
      <c r="F36" s="38"/>
      <c r="G36" s="38"/>
      <c r="H36" s="38"/>
      <c r="I36" s="38"/>
    </row>
    <row r="37" spans="1:9" ht="15.75" x14ac:dyDescent="0.2">
      <c r="A37" s="70"/>
      <c r="B37" s="41" t="s">
        <v>107</v>
      </c>
      <c r="C37" s="60"/>
      <c r="D37" s="101"/>
      <c r="E37" s="38"/>
      <c r="F37" s="38"/>
      <c r="G37" s="38"/>
      <c r="H37" s="38"/>
      <c r="I37" s="38"/>
    </row>
    <row r="38" spans="1:9" ht="15.75" x14ac:dyDescent="0.25">
      <c r="A38" s="70"/>
      <c r="B38" s="42" t="s">
        <v>91</v>
      </c>
      <c r="C38" s="60"/>
      <c r="D38" s="101"/>
      <c r="E38" s="38"/>
      <c r="F38" s="38"/>
      <c r="G38" s="38"/>
      <c r="H38" s="38"/>
      <c r="I38" s="38"/>
    </row>
    <row r="39" spans="1:9" ht="15.75" x14ac:dyDescent="0.2">
      <c r="A39" s="70"/>
      <c r="B39" s="38"/>
      <c r="C39" s="60"/>
      <c r="D39" s="101"/>
      <c r="E39" s="38"/>
      <c r="F39" s="38"/>
      <c r="G39" s="38"/>
      <c r="H39" s="38"/>
      <c r="I39" s="38"/>
    </row>
    <row r="40" spans="1:9" s="34" customFormat="1" x14ac:dyDescent="0.2">
      <c r="A40" s="37"/>
      <c r="B40" s="38"/>
      <c r="C40" s="38"/>
      <c r="D40" s="39"/>
      <c r="E40" s="39"/>
      <c r="F40" s="38"/>
      <c r="G40" s="39"/>
      <c r="H40" s="38"/>
      <c r="I40" s="39"/>
    </row>
    <row r="41" spans="1:9" s="34" customFormat="1" x14ac:dyDescent="0.2">
      <c r="A41" s="37"/>
      <c r="B41" s="38"/>
      <c r="C41" s="38"/>
      <c r="D41" s="39"/>
      <c r="E41" s="39"/>
      <c r="F41" s="38"/>
      <c r="G41" s="39"/>
      <c r="H41" s="38"/>
      <c r="I41" s="39"/>
    </row>
    <row r="42" spans="1:9" ht="15.75" x14ac:dyDescent="0.25">
      <c r="A42" s="102"/>
      <c r="B42" s="38"/>
      <c r="C42" s="107"/>
      <c r="D42" s="42"/>
      <c r="E42" s="38"/>
      <c r="F42" s="38"/>
      <c r="G42" s="38"/>
      <c r="H42" s="38"/>
      <c r="I42" s="38"/>
    </row>
    <row r="43" spans="1:9" ht="15.75" x14ac:dyDescent="0.25">
      <c r="B43" s="41" t="s">
        <v>92</v>
      </c>
      <c r="C43" s="108"/>
      <c r="D43" s="34"/>
      <c r="E43" s="42"/>
      <c r="F43" s="42"/>
      <c r="G43" s="42"/>
      <c r="H43" s="42"/>
      <c r="I43" s="42"/>
    </row>
    <row r="44" spans="1:9" ht="15.75" x14ac:dyDescent="0.25">
      <c r="B44" s="42" t="s">
        <v>91</v>
      </c>
      <c r="C44" s="106"/>
      <c r="D44" s="41"/>
    </row>
    <row r="45" spans="1:9" ht="15.75" x14ac:dyDescent="0.25">
      <c r="B45" s="42"/>
      <c r="C45" s="107"/>
      <c r="D45" s="42"/>
    </row>
    <row r="46" spans="1:9" ht="15.75" x14ac:dyDescent="0.25">
      <c r="B46" s="42"/>
      <c r="C46" s="107"/>
      <c r="D46" s="42"/>
    </row>
    <row r="47" spans="1:9" ht="15.75" x14ac:dyDescent="0.25">
      <c r="B47" s="42"/>
    </row>
    <row r="48" spans="1:9" ht="15.75" x14ac:dyDescent="0.25">
      <c r="B48" s="42"/>
    </row>
    <row r="49" spans="2:2" ht="15.75" x14ac:dyDescent="0.2">
      <c r="B49" s="41" t="s">
        <v>37</v>
      </c>
    </row>
    <row r="50" spans="2:2" ht="15.75" x14ac:dyDescent="0.25">
      <c r="B50" s="42" t="s">
        <v>38</v>
      </c>
    </row>
    <row r="51" spans="2:2" ht="15.75" x14ac:dyDescent="0.25">
      <c r="B51" s="42" t="s">
        <v>39</v>
      </c>
    </row>
  </sheetData>
  <mergeCells count="25">
    <mergeCell ref="A1:C1"/>
    <mergeCell ref="A2:C2"/>
    <mergeCell ref="A3:C3"/>
    <mergeCell ref="A4:C4"/>
    <mergeCell ref="A18:A21"/>
    <mergeCell ref="C18:C21"/>
    <mergeCell ref="A5:C5"/>
    <mergeCell ref="A6:C6"/>
    <mergeCell ref="A7:C7"/>
    <mergeCell ref="A13:A16"/>
    <mergeCell ref="A10:A11"/>
    <mergeCell ref="B10:B11"/>
    <mergeCell ref="B18:B19"/>
    <mergeCell ref="D24:F24"/>
    <mergeCell ref="C10:C11"/>
    <mergeCell ref="D10:F10"/>
    <mergeCell ref="D9:F9"/>
    <mergeCell ref="G24:I24"/>
    <mergeCell ref="C13:C16"/>
    <mergeCell ref="F13:F16"/>
    <mergeCell ref="F18:F21"/>
    <mergeCell ref="G9:I9"/>
    <mergeCell ref="G10:I10"/>
    <mergeCell ref="I13:I16"/>
    <mergeCell ref="I18:I21"/>
  </mergeCells>
  <conditionalFormatting sqref="F13 D13:D16 G13:G16 D18:D19 G18:G21 D20:E21">
    <cfRule type="cellIs" dxfId="53" priority="94" operator="equal">
      <formula>"NO"</formula>
    </cfRule>
  </conditionalFormatting>
  <conditionalFormatting sqref="D12">
    <cfRule type="cellIs" dxfId="52" priority="93" operator="equal">
      <formula>"NO"</formula>
    </cfRule>
  </conditionalFormatting>
  <conditionalFormatting sqref="F18:F19">
    <cfRule type="cellIs" dxfId="51" priority="84" operator="equal">
      <formula>"NO"</formula>
    </cfRule>
  </conditionalFormatting>
  <conditionalFormatting sqref="E13:E14">
    <cfRule type="cellIs" dxfId="50" priority="52" operator="equal">
      <formula>"NO"</formula>
    </cfRule>
  </conditionalFormatting>
  <conditionalFormatting sqref="D17">
    <cfRule type="cellIs" dxfId="49" priority="42" operator="equal">
      <formula>"NO"</formula>
    </cfRule>
  </conditionalFormatting>
  <conditionalFormatting sqref="I13">
    <cfRule type="cellIs" dxfId="48" priority="41" operator="equal">
      <formula>"NO"</formula>
    </cfRule>
  </conditionalFormatting>
  <conditionalFormatting sqref="I18:I19">
    <cfRule type="cellIs" dxfId="47" priority="40" operator="equal">
      <formula>"NO"</formula>
    </cfRule>
  </conditionalFormatting>
  <conditionalFormatting sqref="E16">
    <cfRule type="cellIs" dxfId="46" priority="37" operator="equal">
      <formula>"NO"</formula>
    </cfRule>
  </conditionalFormatting>
  <conditionalFormatting sqref="E15">
    <cfRule type="cellIs" dxfId="45" priority="11" operator="equal">
      <formula>"NO"</formula>
    </cfRule>
  </conditionalFormatting>
  <conditionalFormatting sqref="E18:E19">
    <cfRule type="cellIs" dxfId="44" priority="10" operator="equal">
      <formula>"NO"</formula>
    </cfRule>
  </conditionalFormatting>
  <conditionalFormatting sqref="D22">
    <cfRule type="cellIs" dxfId="43" priority="9" operator="equal">
      <formula>"NO"</formula>
    </cfRule>
  </conditionalFormatting>
  <conditionalFormatting sqref="G23 D23:E23">
    <cfRule type="cellIs" dxfId="42" priority="8" operator="equal">
      <formula>"NO"</formula>
    </cfRule>
  </conditionalFormatting>
  <conditionalFormatting sqref="H20:H21">
    <cfRule type="cellIs" dxfId="41" priority="6" operator="equal">
      <formula>"NO"</formula>
    </cfRule>
  </conditionalFormatting>
  <conditionalFormatting sqref="H13:H14">
    <cfRule type="cellIs" dxfId="40" priority="5" operator="equal">
      <formula>"NO"</formula>
    </cfRule>
  </conditionalFormatting>
  <conditionalFormatting sqref="H16">
    <cfRule type="cellIs" dxfId="39" priority="4" operator="equal">
      <formula>"NO"</formula>
    </cfRule>
  </conditionalFormatting>
  <conditionalFormatting sqref="H15">
    <cfRule type="cellIs" dxfId="38" priority="3" operator="equal">
      <formula>"NO"</formula>
    </cfRule>
  </conditionalFormatting>
  <conditionalFormatting sqref="H18:H19">
    <cfRule type="cellIs" dxfId="37" priority="2" operator="equal">
      <formula>"NO"</formula>
    </cfRule>
  </conditionalFormatting>
  <conditionalFormatting sqref="H23">
    <cfRule type="cellIs" dxfId="36" priority="1" operator="equal">
      <formula>"NO"</formula>
    </cfRule>
  </conditionalFormatting>
  <pageMargins left="0.47244094488188981" right="0.47244094488188981" top="0.59055118110236227" bottom="0.59055118110236227" header="0.31496062992125984" footer="0.31496062992125984"/>
  <pageSetup scale="27"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S260"/>
  <sheetViews>
    <sheetView zoomScale="80" zoomScaleNormal="80" workbookViewId="0">
      <pane xSplit="5" ySplit="7" topLeftCell="F239" activePane="bottomRight" state="frozen"/>
      <selection pane="topRight" activeCell="E1" sqref="E1"/>
      <selection pane="bottomLeft" activeCell="A8" sqref="A8"/>
      <selection pane="bottomRight" activeCell="I249" sqref="I249"/>
    </sheetView>
  </sheetViews>
  <sheetFormatPr baseColWidth="10" defaultColWidth="15" defaultRowHeight="12.75" x14ac:dyDescent="0.25"/>
  <cols>
    <col min="1" max="1" width="7.5703125" style="1" customWidth="1"/>
    <col min="2" max="2" width="8.85546875" style="1" customWidth="1"/>
    <col min="3" max="3" width="60.85546875" style="1" customWidth="1"/>
    <col min="4" max="4" width="8.7109375" style="1" customWidth="1"/>
    <col min="5" max="5" width="12.28515625" style="1" bestFit="1" customWidth="1"/>
    <col min="6" max="6" width="15.140625" style="1" customWidth="1"/>
    <col min="7" max="7" width="19.42578125" style="1" customWidth="1"/>
    <col min="8" max="8" width="15.140625" style="1" bestFit="1" customWidth="1"/>
    <col min="9" max="9" width="18.85546875" style="1" bestFit="1" customWidth="1"/>
    <col min="10" max="10" width="16.85546875" style="1" customWidth="1"/>
    <col min="11" max="11" width="15.140625" style="1" hidden="1" customWidth="1"/>
    <col min="12" max="12" width="18.85546875" style="1" hidden="1" customWidth="1"/>
    <col min="13" max="13" width="16.85546875" style="1" hidden="1" customWidth="1"/>
    <col min="14" max="14" width="15.140625" style="1" hidden="1" customWidth="1"/>
    <col min="15" max="15" width="18.85546875" style="1" hidden="1" customWidth="1"/>
    <col min="16" max="16" width="16.85546875" style="1" hidden="1" customWidth="1"/>
    <col min="17" max="17" width="15.140625" style="1" hidden="1" customWidth="1"/>
    <col min="18" max="18" width="18.85546875" style="1" hidden="1" customWidth="1"/>
    <col min="19" max="19" width="16.85546875" style="1" hidden="1" customWidth="1"/>
    <col min="20" max="16384" width="15" style="1"/>
  </cols>
  <sheetData>
    <row r="1" spans="1:19" x14ac:dyDescent="0.25">
      <c r="A1" s="405" t="s">
        <v>14</v>
      </c>
      <c r="B1" s="415"/>
      <c r="C1" s="405"/>
      <c r="D1" s="405"/>
      <c r="E1" s="405"/>
      <c r="F1" s="405"/>
      <c r="G1" s="405"/>
    </row>
    <row r="2" spans="1:19" x14ac:dyDescent="0.25">
      <c r="A2" s="405" t="s">
        <v>42</v>
      </c>
      <c r="B2" s="415"/>
      <c r="C2" s="405"/>
      <c r="D2" s="405"/>
      <c r="E2" s="405"/>
      <c r="F2" s="405"/>
      <c r="G2" s="405"/>
    </row>
    <row r="3" spans="1:19" ht="18" customHeight="1" x14ac:dyDescent="0.25">
      <c r="A3" s="413" t="str">
        <f>+'VERIFICACIÓN TÉCNICA'!A7</f>
        <v>OBJETO: OBRA PARA ADECUACIONES FÍSICAS PARA EL FORTALECIMIENTO DE LA INFRAESTRUCTURA TECNOLÓGICA DE LA UNIVERSIDAD DEL CAUCA.</v>
      </c>
      <c r="B3" s="414"/>
      <c r="C3" s="413"/>
      <c r="D3" s="413"/>
      <c r="E3" s="413"/>
      <c r="F3" s="413"/>
      <c r="G3" s="413"/>
      <c r="H3" s="399" t="str">
        <f>+'VERIFICACIÓN TÉCNICA'!C10</f>
        <v>ALCALA SAS</v>
      </c>
      <c r="I3" s="400"/>
      <c r="J3" s="401"/>
      <c r="K3" s="399"/>
      <c r="L3" s="400"/>
      <c r="M3" s="401"/>
      <c r="N3" s="399"/>
      <c r="O3" s="400"/>
      <c r="P3" s="401"/>
      <c r="Q3" s="399"/>
      <c r="R3" s="400"/>
      <c r="S3" s="401"/>
    </row>
    <row r="4" spans="1:19" ht="59.25" customHeight="1" x14ac:dyDescent="0.25">
      <c r="A4" s="413"/>
      <c r="B4" s="414"/>
      <c r="C4" s="413"/>
      <c r="D4" s="413"/>
      <c r="E4" s="413"/>
      <c r="F4" s="413"/>
      <c r="G4" s="413"/>
      <c r="H4" s="402"/>
      <c r="I4" s="403"/>
      <c r="J4" s="404"/>
      <c r="K4" s="402"/>
      <c r="L4" s="403"/>
      <c r="M4" s="404"/>
      <c r="N4" s="402"/>
      <c r="O4" s="403"/>
      <c r="P4" s="404"/>
      <c r="Q4" s="402"/>
      <c r="R4" s="403"/>
      <c r="S4" s="404"/>
    </row>
    <row r="5" spans="1:19" x14ac:dyDescent="0.25">
      <c r="A5" s="413"/>
      <c r="B5" s="414"/>
      <c r="C5" s="413"/>
      <c r="D5" s="413"/>
      <c r="E5" s="413"/>
      <c r="F5" s="413"/>
      <c r="G5" s="413"/>
      <c r="H5" s="405">
        <v>1</v>
      </c>
      <c r="I5" s="405"/>
      <c r="J5" s="405"/>
      <c r="K5" s="405">
        <v>2</v>
      </c>
      <c r="L5" s="405"/>
      <c r="M5" s="405"/>
      <c r="N5" s="405">
        <v>3</v>
      </c>
      <c r="O5" s="405"/>
      <c r="P5" s="405"/>
      <c r="Q5" s="405">
        <v>4</v>
      </c>
      <c r="R5" s="405"/>
      <c r="S5" s="405"/>
    </row>
    <row r="6" spans="1:19" ht="15" customHeight="1" x14ac:dyDescent="0.25">
      <c r="A6" s="411" t="s">
        <v>43</v>
      </c>
      <c r="B6" s="412"/>
      <c r="C6" s="411"/>
      <c r="D6" s="411"/>
      <c r="E6" s="411"/>
      <c r="F6" s="411"/>
      <c r="G6" s="411"/>
      <c r="H6" s="406" t="s">
        <v>8</v>
      </c>
      <c r="I6" s="406" t="s">
        <v>9</v>
      </c>
      <c r="J6" s="120" t="s">
        <v>44</v>
      </c>
      <c r="K6" s="406" t="s">
        <v>8</v>
      </c>
      <c r="L6" s="406" t="s">
        <v>9</v>
      </c>
      <c r="M6" s="120" t="s">
        <v>44</v>
      </c>
      <c r="N6" s="406" t="s">
        <v>8</v>
      </c>
      <c r="O6" s="406" t="s">
        <v>9</v>
      </c>
      <c r="P6" s="228" t="s">
        <v>44</v>
      </c>
      <c r="Q6" s="406" t="s">
        <v>8</v>
      </c>
      <c r="R6" s="406" t="s">
        <v>9</v>
      </c>
      <c r="S6" s="230" t="s">
        <v>44</v>
      </c>
    </row>
    <row r="7" spans="1:19" x14ac:dyDescent="0.25">
      <c r="A7" s="121" t="s">
        <v>0</v>
      </c>
      <c r="B7" s="233" t="s">
        <v>113</v>
      </c>
      <c r="C7" s="121" t="s">
        <v>10</v>
      </c>
      <c r="D7" s="121" t="s">
        <v>2</v>
      </c>
      <c r="E7" s="121" t="s">
        <v>1</v>
      </c>
      <c r="F7" s="121" t="s">
        <v>8</v>
      </c>
      <c r="G7" s="121" t="s">
        <v>9</v>
      </c>
      <c r="H7" s="407"/>
      <c r="I7" s="407"/>
      <c r="J7" s="119" t="s">
        <v>45</v>
      </c>
      <c r="K7" s="407"/>
      <c r="L7" s="407"/>
      <c r="M7" s="119" t="s">
        <v>45</v>
      </c>
      <c r="N7" s="407"/>
      <c r="O7" s="407"/>
      <c r="P7" s="229" t="s">
        <v>45</v>
      </c>
      <c r="Q7" s="407"/>
      <c r="R7" s="407"/>
      <c r="S7" s="231" t="s">
        <v>45</v>
      </c>
    </row>
    <row r="8" spans="1:19" s="53" customFormat="1" x14ac:dyDescent="0.25">
      <c r="A8" s="121"/>
      <c r="B8" s="233"/>
      <c r="C8" s="122"/>
      <c r="D8" s="121"/>
      <c r="E8" s="121"/>
      <c r="F8" s="121"/>
      <c r="G8" s="121"/>
      <c r="H8" s="121"/>
      <c r="I8" s="121"/>
      <c r="J8" s="121"/>
      <c r="K8" s="121"/>
      <c r="L8" s="121"/>
      <c r="M8" s="121"/>
      <c r="N8" s="227"/>
      <c r="O8" s="227"/>
      <c r="P8" s="227"/>
      <c r="Q8" s="232"/>
      <c r="R8" s="232"/>
      <c r="S8" s="232"/>
    </row>
    <row r="9" spans="1:19" ht="15" x14ac:dyDescent="0.25">
      <c r="A9" s="237" t="s">
        <v>114</v>
      </c>
      <c r="B9" s="237"/>
      <c r="C9" s="238" t="s">
        <v>115</v>
      </c>
      <c r="D9" s="238"/>
      <c r="E9" s="238"/>
      <c r="F9" s="239"/>
      <c r="G9" s="236">
        <f>ROUND($E9*F9,0)</f>
        <v>0</v>
      </c>
      <c r="H9" s="125"/>
      <c r="I9" s="125">
        <f t="shared" ref="I9:I72" si="0">ROUND($E9*H9,0)</f>
        <v>0</v>
      </c>
      <c r="J9" s="124" t="str">
        <f t="shared" ref="J9:J10" si="1">+IF(H9&lt;=$F9,"OK","NO OK")</f>
        <v>OK</v>
      </c>
      <c r="K9" s="125"/>
      <c r="L9" s="125">
        <f t="shared" ref="L9:L10" si="2">ROUND($E9*K9,0)</f>
        <v>0</v>
      </c>
      <c r="M9" s="124" t="str">
        <f t="shared" ref="M9:M10" si="3">+IF(K9&lt;=$F9,"OK","NO OK")</f>
        <v>OK</v>
      </c>
      <c r="N9" s="125"/>
      <c r="O9" s="125">
        <f t="shared" ref="O9:O17" si="4">ROUND($E9*N9,0)</f>
        <v>0</v>
      </c>
      <c r="P9" s="124" t="str">
        <f t="shared" ref="P9:P17" si="5">+IF(N9&lt;=$F9,"OK","NO OK")</f>
        <v>OK</v>
      </c>
      <c r="Q9" s="125"/>
      <c r="R9" s="125">
        <f t="shared" ref="R9:R17" si="6">ROUND($E9*Q9,0)</f>
        <v>0</v>
      </c>
      <c r="S9" s="124" t="str">
        <f t="shared" ref="S9:S17" si="7">+IF(Q9&lt;=$F9,"OK","NO OK")</f>
        <v>OK</v>
      </c>
    </row>
    <row r="10" spans="1:19" ht="15" x14ac:dyDescent="0.25">
      <c r="A10" s="240">
        <v>1</v>
      </c>
      <c r="B10" s="240"/>
      <c r="C10" s="241" t="s">
        <v>93</v>
      </c>
      <c r="D10" s="240"/>
      <c r="E10" s="240"/>
      <c r="F10" s="242"/>
      <c r="G10" s="236">
        <f t="shared" ref="G10:G73" si="8">ROUND($E10*F10,0)</f>
        <v>0</v>
      </c>
      <c r="H10" s="125"/>
      <c r="I10" s="125">
        <f t="shared" si="0"/>
        <v>0</v>
      </c>
      <c r="J10" s="124" t="str">
        <f t="shared" si="1"/>
        <v>OK</v>
      </c>
      <c r="K10" s="125"/>
      <c r="L10" s="125">
        <f t="shared" si="2"/>
        <v>0</v>
      </c>
      <c r="M10" s="124" t="str">
        <f t="shared" si="3"/>
        <v>OK</v>
      </c>
      <c r="N10" s="125"/>
      <c r="O10" s="125">
        <f t="shared" si="4"/>
        <v>0</v>
      </c>
      <c r="P10" s="124" t="str">
        <f t="shared" si="5"/>
        <v>OK</v>
      </c>
      <c r="Q10" s="125"/>
      <c r="R10" s="125">
        <f t="shared" si="6"/>
        <v>0</v>
      </c>
      <c r="S10" s="124" t="str">
        <f t="shared" si="7"/>
        <v>OK</v>
      </c>
    </row>
    <row r="11" spans="1:19" ht="38.25" x14ac:dyDescent="0.25">
      <c r="A11" s="243" t="s">
        <v>116</v>
      </c>
      <c r="B11" s="243">
        <v>1</v>
      </c>
      <c r="C11" s="244" t="s">
        <v>117</v>
      </c>
      <c r="D11" s="243" t="s">
        <v>7</v>
      </c>
      <c r="E11" s="245">
        <v>6738.39</v>
      </c>
      <c r="F11" s="246">
        <v>6709</v>
      </c>
      <c r="G11" s="236">
        <f t="shared" si="8"/>
        <v>45207859</v>
      </c>
      <c r="H11" s="125">
        <v>6709</v>
      </c>
      <c r="I11" s="125">
        <f t="shared" si="0"/>
        <v>45207859</v>
      </c>
      <c r="J11" s="124" t="str">
        <f t="shared" ref="J11:J74" si="9">+IF(H11&lt;=$F11,"OK","NO OK")</f>
        <v>OK</v>
      </c>
      <c r="K11" s="125"/>
      <c r="L11" s="125">
        <f t="shared" ref="L11:L74" si="10">ROUND($E11*K11,0)</f>
        <v>0</v>
      </c>
      <c r="M11" s="124" t="str">
        <f t="shared" ref="M11:M74" si="11">+IF(K11&lt;=$F11,"OK","NO OK")</f>
        <v>OK</v>
      </c>
      <c r="N11" s="125"/>
      <c r="O11" s="125">
        <f t="shared" si="4"/>
        <v>0</v>
      </c>
      <c r="P11" s="124" t="str">
        <f t="shared" si="5"/>
        <v>OK</v>
      </c>
      <c r="Q11" s="125"/>
      <c r="R11" s="125">
        <f t="shared" si="6"/>
        <v>0</v>
      </c>
      <c r="S11" s="124" t="str">
        <f t="shared" si="7"/>
        <v>OK</v>
      </c>
    </row>
    <row r="12" spans="1:19" ht="38.25" x14ac:dyDescent="0.25">
      <c r="A12" s="243" t="s">
        <v>118</v>
      </c>
      <c r="B12" s="243">
        <v>2</v>
      </c>
      <c r="C12" s="244" t="s">
        <v>119</v>
      </c>
      <c r="D12" s="243" t="s">
        <v>75</v>
      </c>
      <c r="E12" s="245">
        <v>401</v>
      </c>
      <c r="F12" s="246">
        <v>6944</v>
      </c>
      <c r="G12" s="236">
        <f t="shared" si="8"/>
        <v>2784544</v>
      </c>
      <c r="H12" s="125">
        <v>6944</v>
      </c>
      <c r="I12" s="125">
        <f t="shared" si="0"/>
        <v>2784544</v>
      </c>
      <c r="J12" s="124" t="str">
        <f t="shared" si="9"/>
        <v>OK</v>
      </c>
      <c r="K12" s="125"/>
      <c r="L12" s="125">
        <f t="shared" si="10"/>
        <v>0</v>
      </c>
      <c r="M12" s="124" t="str">
        <f t="shared" si="11"/>
        <v>OK</v>
      </c>
      <c r="N12" s="125"/>
      <c r="O12" s="125">
        <f t="shared" si="4"/>
        <v>0</v>
      </c>
      <c r="P12" s="124" t="str">
        <f t="shared" si="5"/>
        <v>OK</v>
      </c>
      <c r="Q12" s="125"/>
      <c r="R12" s="125">
        <f t="shared" si="6"/>
        <v>0</v>
      </c>
      <c r="S12" s="124" t="str">
        <f t="shared" si="7"/>
        <v>OK</v>
      </c>
    </row>
    <row r="13" spans="1:19" ht="15" x14ac:dyDescent="0.25">
      <c r="A13" s="243" t="s">
        <v>120</v>
      </c>
      <c r="B13" s="243">
        <v>3</v>
      </c>
      <c r="C13" s="244" t="s">
        <v>121</v>
      </c>
      <c r="D13" s="243" t="s">
        <v>7</v>
      </c>
      <c r="E13" s="245">
        <v>116.98</v>
      </c>
      <c r="F13" s="246">
        <v>44085</v>
      </c>
      <c r="G13" s="236">
        <f t="shared" si="8"/>
        <v>5157063</v>
      </c>
      <c r="H13" s="125">
        <v>44085</v>
      </c>
      <c r="I13" s="125">
        <f t="shared" si="0"/>
        <v>5157063</v>
      </c>
      <c r="J13" s="124" t="str">
        <f t="shared" si="9"/>
        <v>OK</v>
      </c>
      <c r="K13" s="125"/>
      <c r="L13" s="125">
        <f t="shared" si="10"/>
        <v>0</v>
      </c>
      <c r="M13" s="124" t="str">
        <f t="shared" si="11"/>
        <v>OK</v>
      </c>
      <c r="N13" s="125"/>
      <c r="O13" s="125">
        <f t="shared" si="4"/>
        <v>0</v>
      </c>
      <c r="P13" s="124" t="str">
        <f t="shared" si="5"/>
        <v>OK</v>
      </c>
      <c r="Q13" s="125"/>
      <c r="R13" s="125">
        <f t="shared" si="6"/>
        <v>0</v>
      </c>
      <c r="S13" s="124" t="str">
        <f t="shared" si="7"/>
        <v>OK</v>
      </c>
    </row>
    <row r="14" spans="1:19" ht="38.25" x14ac:dyDescent="0.25">
      <c r="A14" s="243" t="s">
        <v>122</v>
      </c>
      <c r="B14" s="243">
        <v>4</v>
      </c>
      <c r="C14" s="244" t="s">
        <v>123</v>
      </c>
      <c r="D14" s="243" t="s">
        <v>75</v>
      </c>
      <c r="E14" s="245">
        <v>349.79</v>
      </c>
      <c r="F14" s="246">
        <v>12681</v>
      </c>
      <c r="G14" s="236">
        <f t="shared" si="8"/>
        <v>4435687</v>
      </c>
      <c r="H14" s="125">
        <v>12681</v>
      </c>
      <c r="I14" s="125">
        <f t="shared" si="0"/>
        <v>4435687</v>
      </c>
      <c r="J14" s="124" t="str">
        <f t="shared" si="9"/>
        <v>OK</v>
      </c>
      <c r="K14" s="125"/>
      <c r="L14" s="125">
        <f t="shared" si="10"/>
        <v>0</v>
      </c>
      <c r="M14" s="124" t="str">
        <f t="shared" si="11"/>
        <v>OK</v>
      </c>
      <c r="N14" s="125"/>
      <c r="O14" s="125">
        <f t="shared" si="4"/>
        <v>0</v>
      </c>
      <c r="P14" s="124" t="str">
        <f t="shared" si="5"/>
        <v>OK</v>
      </c>
      <c r="Q14" s="125"/>
      <c r="R14" s="125">
        <f t="shared" si="6"/>
        <v>0</v>
      </c>
      <c r="S14" s="124" t="str">
        <f t="shared" si="7"/>
        <v>OK</v>
      </c>
    </row>
    <row r="15" spans="1:19" ht="25.5" x14ac:dyDescent="0.25">
      <c r="A15" s="243" t="s">
        <v>124</v>
      </c>
      <c r="B15" s="243">
        <v>5</v>
      </c>
      <c r="C15" s="244" t="s">
        <v>125</v>
      </c>
      <c r="D15" s="243" t="s">
        <v>11</v>
      </c>
      <c r="E15" s="245">
        <v>3802.74</v>
      </c>
      <c r="F15" s="246">
        <v>25542</v>
      </c>
      <c r="G15" s="236">
        <f t="shared" si="8"/>
        <v>97129585</v>
      </c>
      <c r="H15" s="125">
        <v>25542</v>
      </c>
      <c r="I15" s="125">
        <f t="shared" si="0"/>
        <v>97129585</v>
      </c>
      <c r="J15" s="124" t="str">
        <f t="shared" si="9"/>
        <v>OK</v>
      </c>
      <c r="K15" s="125"/>
      <c r="L15" s="125">
        <f t="shared" si="10"/>
        <v>0</v>
      </c>
      <c r="M15" s="124" t="str">
        <f t="shared" si="11"/>
        <v>OK</v>
      </c>
      <c r="N15" s="125"/>
      <c r="O15" s="125">
        <f t="shared" si="4"/>
        <v>0</v>
      </c>
      <c r="P15" s="124" t="str">
        <f t="shared" si="5"/>
        <v>OK</v>
      </c>
      <c r="Q15" s="125"/>
      <c r="R15" s="125">
        <f t="shared" si="6"/>
        <v>0</v>
      </c>
      <c r="S15" s="124" t="str">
        <f t="shared" si="7"/>
        <v>OK</v>
      </c>
    </row>
    <row r="16" spans="1:19" ht="25.5" x14ac:dyDescent="0.25">
      <c r="A16" s="243" t="s">
        <v>126</v>
      </c>
      <c r="B16" s="243">
        <v>26</v>
      </c>
      <c r="C16" s="244" t="s">
        <v>127</v>
      </c>
      <c r="D16" s="243" t="s">
        <v>11</v>
      </c>
      <c r="E16" s="245">
        <v>178.35</v>
      </c>
      <c r="F16" s="246">
        <v>11376</v>
      </c>
      <c r="G16" s="236">
        <f t="shared" si="8"/>
        <v>2028910</v>
      </c>
      <c r="H16" s="125">
        <v>11376</v>
      </c>
      <c r="I16" s="125">
        <f t="shared" si="0"/>
        <v>2028910</v>
      </c>
      <c r="J16" s="124" t="str">
        <f t="shared" si="9"/>
        <v>OK</v>
      </c>
      <c r="K16" s="125"/>
      <c r="L16" s="125">
        <f t="shared" si="10"/>
        <v>0</v>
      </c>
      <c r="M16" s="124" t="str">
        <f t="shared" si="11"/>
        <v>OK</v>
      </c>
      <c r="N16" s="125"/>
      <c r="O16" s="125">
        <f t="shared" si="4"/>
        <v>0</v>
      </c>
      <c r="P16" s="124" t="str">
        <f t="shared" si="5"/>
        <v>OK</v>
      </c>
      <c r="Q16" s="125"/>
      <c r="R16" s="125">
        <f t="shared" si="6"/>
        <v>0</v>
      </c>
      <c r="S16" s="124" t="str">
        <f t="shared" si="7"/>
        <v>OK</v>
      </c>
    </row>
    <row r="17" spans="1:19" ht="25.5" x14ac:dyDescent="0.25">
      <c r="A17" s="243" t="s">
        <v>128</v>
      </c>
      <c r="B17" s="243">
        <v>6</v>
      </c>
      <c r="C17" s="244" t="s">
        <v>129</v>
      </c>
      <c r="D17" s="243" t="s">
        <v>11</v>
      </c>
      <c r="E17" s="245">
        <v>2773.03</v>
      </c>
      <c r="F17" s="246">
        <v>24780</v>
      </c>
      <c r="G17" s="236">
        <f t="shared" si="8"/>
        <v>68715683</v>
      </c>
      <c r="H17" s="125">
        <v>24780</v>
      </c>
      <c r="I17" s="125">
        <f t="shared" si="0"/>
        <v>68715683</v>
      </c>
      <c r="J17" s="124" t="str">
        <f t="shared" si="9"/>
        <v>OK</v>
      </c>
      <c r="K17" s="125"/>
      <c r="L17" s="125">
        <f t="shared" si="10"/>
        <v>0</v>
      </c>
      <c r="M17" s="124" t="str">
        <f t="shared" si="11"/>
        <v>OK</v>
      </c>
      <c r="N17" s="125"/>
      <c r="O17" s="125">
        <f t="shared" si="4"/>
        <v>0</v>
      </c>
      <c r="P17" s="124" t="str">
        <f t="shared" si="5"/>
        <v>OK</v>
      </c>
      <c r="Q17" s="125"/>
      <c r="R17" s="125">
        <f t="shared" si="6"/>
        <v>0</v>
      </c>
      <c r="S17" s="124" t="str">
        <f t="shared" si="7"/>
        <v>OK</v>
      </c>
    </row>
    <row r="18" spans="1:19" ht="15" x14ac:dyDescent="0.25">
      <c r="A18" s="240"/>
      <c r="B18" s="240"/>
      <c r="C18" s="247" t="s">
        <v>130</v>
      </c>
      <c r="D18" s="240"/>
      <c r="E18" s="248"/>
      <c r="F18" s="249"/>
      <c r="G18" s="236"/>
      <c r="H18" s="125"/>
      <c r="I18" s="125"/>
      <c r="J18" s="124"/>
      <c r="K18" s="125"/>
      <c r="L18" s="125"/>
      <c r="M18" s="124"/>
      <c r="N18" s="125"/>
      <c r="O18" s="125"/>
      <c r="P18" s="124"/>
      <c r="Q18" s="125"/>
      <c r="R18" s="125"/>
      <c r="S18" s="124"/>
    </row>
    <row r="19" spans="1:19" ht="15" x14ac:dyDescent="0.25">
      <c r="A19" s="240">
        <v>2</v>
      </c>
      <c r="B19" s="240"/>
      <c r="C19" s="250" t="s">
        <v>131</v>
      </c>
      <c r="D19" s="251"/>
      <c r="E19" s="252"/>
      <c r="F19" s="253"/>
      <c r="G19" s="236"/>
      <c r="H19" s="125"/>
      <c r="I19" s="125"/>
      <c r="J19" s="124"/>
      <c r="K19" s="125"/>
      <c r="L19" s="125"/>
      <c r="M19" s="124"/>
      <c r="N19" s="125"/>
      <c r="O19" s="125"/>
      <c r="P19" s="124"/>
      <c r="Q19" s="125"/>
      <c r="R19" s="125"/>
      <c r="S19" s="124"/>
    </row>
    <row r="20" spans="1:19" ht="76.5" x14ac:dyDescent="0.25">
      <c r="A20" s="243" t="s">
        <v>132</v>
      </c>
      <c r="B20" s="243">
        <v>7</v>
      </c>
      <c r="C20" s="244" t="s">
        <v>133</v>
      </c>
      <c r="D20" s="243" t="s">
        <v>11</v>
      </c>
      <c r="E20" s="245">
        <v>1684.6</v>
      </c>
      <c r="F20" s="246">
        <v>129940</v>
      </c>
      <c r="G20" s="236">
        <f t="shared" si="8"/>
        <v>218896924</v>
      </c>
      <c r="H20" s="125">
        <v>129940</v>
      </c>
      <c r="I20" s="125">
        <f t="shared" si="0"/>
        <v>218896924</v>
      </c>
      <c r="J20" s="124" t="str">
        <f t="shared" si="9"/>
        <v>OK</v>
      </c>
      <c r="K20" s="125"/>
      <c r="L20" s="125">
        <f t="shared" si="10"/>
        <v>0</v>
      </c>
      <c r="M20" s="124" t="str">
        <f t="shared" si="11"/>
        <v>OK</v>
      </c>
      <c r="N20" s="125"/>
      <c r="O20" s="125">
        <f t="shared" ref="O20:O25" si="12">ROUND($E20*N20,0)</f>
        <v>0</v>
      </c>
      <c r="P20" s="124" t="str">
        <f t="shared" ref="P20:P25" si="13">+IF(N20&lt;=$F20,"OK","NO OK")</f>
        <v>OK</v>
      </c>
      <c r="Q20" s="125"/>
      <c r="R20" s="125">
        <f t="shared" ref="R20:R25" si="14">ROUND($E20*Q20,0)</f>
        <v>0</v>
      </c>
      <c r="S20" s="124" t="str">
        <f t="shared" ref="S20:S25" si="15">+IF(Q20&lt;=$F20,"OK","NO OK")</f>
        <v>OK</v>
      </c>
    </row>
    <row r="21" spans="1:19" ht="76.5" x14ac:dyDescent="0.25">
      <c r="A21" s="243" t="s">
        <v>134</v>
      </c>
      <c r="B21" s="243">
        <v>8</v>
      </c>
      <c r="C21" s="244" t="s">
        <v>135</v>
      </c>
      <c r="D21" s="243" t="s">
        <v>11</v>
      </c>
      <c r="E21" s="245">
        <v>1010.76</v>
      </c>
      <c r="F21" s="246">
        <v>133901</v>
      </c>
      <c r="G21" s="236">
        <f t="shared" si="8"/>
        <v>135341775</v>
      </c>
      <c r="H21" s="125">
        <v>133901</v>
      </c>
      <c r="I21" s="125">
        <f t="shared" si="0"/>
        <v>135341775</v>
      </c>
      <c r="J21" s="124" t="str">
        <f t="shared" si="9"/>
        <v>OK</v>
      </c>
      <c r="K21" s="125"/>
      <c r="L21" s="125">
        <f t="shared" si="10"/>
        <v>0</v>
      </c>
      <c r="M21" s="124" t="str">
        <f t="shared" si="11"/>
        <v>OK</v>
      </c>
      <c r="N21" s="125"/>
      <c r="O21" s="125">
        <f t="shared" si="12"/>
        <v>0</v>
      </c>
      <c r="P21" s="124" t="str">
        <f t="shared" si="13"/>
        <v>OK</v>
      </c>
      <c r="Q21" s="125"/>
      <c r="R21" s="125">
        <f t="shared" si="14"/>
        <v>0</v>
      </c>
      <c r="S21" s="124" t="str">
        <f t="shared" si="15"/>
        <v>OK</v>
      </c>
    </row>
    <row r="22" spans="1:19" ht="51" x14ac:dyDescent="0.25">
      <c r="A22" s="243" t="s">
        <v>136</v>
      </c>
      <c r="B22" s="243">
        <v>9</v>
      </c>
      <c r="C22" s="244" t="s">
        <v>137</v>
      </c>
      <c r="D22" s="243" t="s">
        <v>11</v>
      </c>
      <c r="E22" s="245">
        <v>673.84</v>
      </c>
      <c r="F22" s="246">
        <v>129940</v>
      </c>
      <c r="G22" s="236">
        <f t="shared" si="8"/>
        <v>87558770</v>
      </c>
      <c r="H22" s="125">
        <v>129940</v>
      </c>
      <c r="I22" s="125">
        <f t="shared" si="0"/>
        <v>87558770</v>
      </c>
      <c r="J22" s="124" t="str">
        <f t="shared" si="9"/>
        <v>OK</v>
      </c>
      <c r="K22" s="125"/>
      <c r="L22" s="125">
        <f t="shared" si="10"/>
        <v>0</v>
      </c>
      <c r="M22" s="124" t="str">
        <f t="shared" si="11"/>
        <v>OK</v>
      </c>
      <c r="N22" s="125"/>
      <c r="O22" s="125">
        <f t="shared" si="12"/>
        <v>0</v>
      </c>
      <c r="P22" s="124" t="str">
        <f t="shared" si="13"/>
        <v>OK</v>
      </c>
      <c r="Q22" s="125"/>
      <c r="R22" s="125">
        <f t="shared" si="14"/>
        <v>0</v>
      </c>
      <c r="S22" s="124" t="str">
        <f t="shared" si="15"/>
        <v>OK</v>
      </c>
    </row>
    <row r="23" spans="1:19" ht="76.5" x14ac:dyDescent="0.25">
      <c r="A23" s="243" t="s">
        <v>138</v>
      </c>
      <c r="B23" s="243">
        <v>10</v>
      </c>
      <c r="C23" s="244" t="s">
        <v>139</v>
      </c>
      <c r="D23" s="243" t="s">
        <v>11</v>
      </c>
      <c r="E23" s="245">
        <v>673.84</v>
      </c>
      <c r="F23" s="246">
        <v>38698</v>
      </c>
      <c r="G23" s="236">
        <f t="shared" si="8"/>
        <v>26076260</v>
      </c>
      <c r="H23" s="125">
        <v>38698</v>
      </c>
      <c r="I23" s="125">
        <f t="shared" si="0"/>
        <v>26076260</v>
      </c>
      <c r="J23" s="124" t="str">
        <f t="shared" si="9"/>
        <v>OK</v>
      </c>
      <c r="K23" s="125"/>
      <c r="L23" s="125">
        <f t="shared" si="10"/>
        <v>0</v>
      </c>
      <c r="M23" s="124" t="str">
        <f t="shared" si="11"/>
        <v>OK</v>
      </c>
      <c r="N23" s="125"/>
      <c r="O23" s="125">
        <f t="shared" si="12"/>
        <v>0</v>
      </c>
      <c r="P23" s="124" t="str">
        <f t="shared" si="13"/>
        <v>OK</v>
      </c>
      <c r="Q23" s="125"/>
      <c r="R23" s="125">
        <f t="shared" si="14"/>
        <v>0</v>
      </c>
      <c r="S23" s="124" t="str">
        <f t="shared" si="15"/>
        <v>OK</v>
      </c>
    </row>
    <row r="24" spans="1:19" ht="51" x14ac:dyDescent="0.25">
      <c r="A24" s="243" t="s">
        <v>140</v>
      </c>
      <c r="B24" s="243">
        <v>11</v>
      </c>
      <c r="C24" s="244" t="s">
        <v>141</v>
      </c>
      <c r="D24" s="243" t="s">
        <v>7</v>
      </c>
      <c r="E24" s="245">
        <v>6738.39</v>
      </c>
      <c r="F24" s="246">
        <v>6453</v>
      </c>
      <c r="G24" s="236">
        <f t="shared" si="8"/>
        <v>43482831</v>
      </c>
      <c r="H24" s="125">
        <v>6453</v>
      </c>
      <c r="I24" s="125">
        <f t="shared" si="0"/>
        <v>43482831</v>
      </c>
      <c r="J24" s="124" t="str">
        <f t="shared" si="9"/>
        <v>OK</v>
      </c>
      <c r="K24" s="125"/>
      <c r="L24" s="125">
        <f t="shared" si="10"/>
        <v>0</v>
      </c>
      <c r="M24" s="124" t="str">
        <f t="shared" si="11"/>
        <v>OK</v>
      </c>
      <c r="N24" s="125"/>
      <c r="O24" s="125">
        <f t="shared" si="12"/>
        <v>0</v>
      </c>
      <c r="P24" s="124" t="str">
        <f t="shared" si="13"/>
        <v>OK</v>
      </c>
      <c r="Q24" s="125"/>
      <c r="R24" s="125">
        <f t="shared" si="14"/>
        <v>0</v>
      </c>
      <c r="S24" s="124" t="str">
        <f t="shared" si="15"/>
        <v>OK</v>
      </c>
    </row>
    <row r="25" spans="1:19" ht="51" x14ac:dyDescent="0.25">
      <c r="A25" s="243" t="s">
        <v>142</v>
      </c>
      <c r="B25" s="243">
        <v>12</v>
      </c>
      <c r="C25" s="244" t="s">
        <v>143</v>
      </c>
      <c r="D25" s="243" t="s">
        <v>7</v>
      </c>
      <c r="E25" s="245">
        <v>6738.39</v>
      </c>
      <c r="F25" s="246">
        <v>54229</v>
      </c>
      <c r="G25" s="236">
        <f t="shared" si="8"/>
        <v>365416151</v>
      </c>
      <c r="H25" s="125">
        <v>54229</v>
      </c>
      <c r="I25" s="125">
        <f t="shared" si="0"/>
        <v>365416151</v>
      </c>
      <c r="J25" s="124" t="str">
        <f t="shared" si="9"/>
        <v>OK</v>
      </c>
      <c r="K25" s="125"/>
      <c r="L25" s="125">
        <f t="shared" si="10"/>
        <v>0</v>
      </c>
      <c r="M25" s="124" t="str">
        <f t="shared" si="11"/>
        <v>OK</v>
      </c>
      <c r="N25" s="125"/>
      <c r="O25" s="125">
        <f t="shared" si="12"/>
        <v>0</v>
      </c>
      <c r="P25" s="124" t="str">
        <f t="shared" si="13"/>
        <v>OK</v>
      </c>
      <c r="Q25" s="125"/>
      <c r="R25" s="125">
        <f t="shared" si="14"/>
        <v>0</v>
      </c>
      <c r="S25" s="124" t="str">
        <f t="shared" si="15"/>
        <v>OK</v>
      </c>
    </row>
    <row r="26" spans="1:19" ht="15" x14ac:dyDescent="0.25">
      <c r="A26" s="240"/>
      <c r="B26" s="240"/>
      <c r="C26" s="250" t="s">
        <v>130</v>
      </c>
      <c r="D26" s="240"/>
      <c r="E26" s="248"/>
      <c r="F26" s="249"/>
      <c r="G26" s="236"/>
      <c r="H26" s="125"/>
      <c r="I26" s="125"/>
      <c r="J26" s="124"/>
      <c r="K26" s="125"/>
      <c r="L26" s="125"/>
      <c r="M26" s="124"/>
      <c r="N26" s="125"/>
      <c r="O26" s="125"/>
      <c r="P26" s="124"/>
      <c r="Q26" s="125"/>
      <c r="R26" s="125"/>
      <c r="S26" s="124"/>
    </row>
    <row r="27" spans="1:19" ht="15" x14ac:dyDescent="0.25">
      <c r="A27" s="251">
        <v>3</v>
      </c>
      <c r="B27" s="251"/>
      <c r="C27" s="250" t="s">
        <v>144</v>
      </c>
      <c r="D27" s="251"/>
      <c r="E27" s="252"/>
      <c r="F27" s="253"/>
      <c r="G27" s="236"/>
      <c r="H27" s="125"/>
      <c r="I27" s="125"/>
      <c r="J27" s="124"/>
      <c r="K27" s="125"/>
      <c r="L27" s="125"/>
      <c r="M27" s="124"/>
      <c r="N27" s="125"/>
      <c r="O27" s="125"/>
      <c r="P27" s="124"/>
      <c r="Q27" s="125"/>
      <c r="R27" s="125"/>
      <c r="S27" s="124"/>
    </row>
    <row r="28" spans="1:19" ht="89.25" x14ac:dyDescent="0.25">
      <c r="A28" s="254" t="s">
        <v>145</v>
      </c>
      <c r="B28" s="254"/>
      <c r="C28" s="244" t="s">
        <v>146</v>
      </c>
      <c r="D28" s="254" t="s">
        <v>7</v>
      </c>
      <c r="E28" s="245">
        <v>3877.02</v>
      </c>
      <c r="F28" s="246">
        <v>364300</v>
      </c>
      <c r="G28" s="236">
        <f t="shared" si="8"/>
        <v>1412398386</v>
      </c>
      <c r="H28" s="125">
        <v>364300</v>
      </c>
      <c r="I28" s="125">
        <f t="shared" si="0"/>
        <v>1412398386</v>
      </c>
      <c r="J28" s="124" t="str">
        <f t="shared" si="9"/>
        <v>OK</v>
      </c>
      <c r="K28" s="125"/>
      <c r="L28" s="125">
        <f t="shared" si="10"/>
        <v>0</v>
      </c>
      <c r="M28" s="124" t="str">
        <f t="shared" si="11"/>
        <v>OK</v>
      </c>
      <c r="N28" s="125"/>
      <c r="O28" s="125">
        <f t="shared" ref="O28:O29" si="16">ROUND($E28*N28,0)</f>
        <v>0</v>
      </c>
      <c r="P28" s="124" t="str">
        <f t="shared" ref="P28:P29" si="17">+IF(N28&lt;=$F28,"OK","NO OK")</f>
        <v>OK</v>
      </c>
      <c r="Q28" s="125"/>
      <c r="R28" s="125">
        <f t="shared" ref="R28:R29" si="18">ROUND($E28*Q28,0)</f>
        <v>0</v>
      </c>
      <c r="S28" s="124" t="str">
        <f t="shared" ref="S28:S29" si="19">+IF(Q28&lt;=$F28,"OK","NO OK")</f>
        <v>OK</v>
      </c>
    </row>
    <row r="29" spans="1:19" ht="89.25" x14ac:dyDescent="0.25">
      <c r="A29" s="254" t="s">
        <v>147</v>
      </c>
      <c r="B29" s="254"/>
      <c r="C29" s="244" t="s">
        <v>148</v>
      </c>
      <c r="D29" s="254" t="s">
        <v>7</v>
      </c>
      <c r="E29" s="245">
        <v>2966.64</v>
      </c>
      <c r="F29" s="246">
        <v>364300</v>
      </c>
      <c r="G29" s="236">
        <f t="shared" si="8"/>
        <v>1080746952</v>
      </c>
      <c r="H29" s="125">
        <v>364300</v>
      </c>
      <c r="I29" s="125">
        <f t="shared" si="0"/>
        <v>1080746952</v>
      </c>
      <c r="J29" s="124" t="str">
        <f t="shared" si="9"/>
        <v>OK</v>
      </c>
      <c r="K29" s="125"/>
      <c r="L29" s="125">
        <f t="shared" si="10"/>
        <v>0</v>
      </c>
      <c r="M29" s="124" t="str">
        <f t="shared" si="11"/>
        <v>OK</v>
      </c>
      <c r="N29" s="125"/>
      <c r="O29" s="125">
        <f t="shared" si="16"/>
        <v>0</v>
      </c>
      <c r="P29" s="124" t="str">
        <f t="shared" si="17"/>
        <v>OK</v>
      </c>
      <c r="Q29" s="125"/>
      <c r="R29" s="125">
        <f t="shared" si="18"/>
        <v>0</v>
      </c>
      <c r="S29" s="124" t="str">
        <f t="shared" si="19"/>
        <v>OK</v>
      </c>
    </row>
    <row r="30" spans="1:19" ht="15" x14ac:dyDescent="0.25">
      <c r="A30" s="240"/>
      <c r="B30" s="240"/>
      <c r="C30" s="250" t="s">
        <v>130</v>
      </c>
      <c r="D30" s="240"/>
      <c r="E30" s="248"/>
      <c r="F30" s="249"/>
      <c r="G30" s="236"/>
      <c r="H30" s="125"/>
      <c r="I30" s="125"/>
      <c r="J30" s="124"/>
      <c r="K30" s="125"/>
      <c r="L30" s="125"/>
      <c r="M30" s="124"/>
      <c r="N30" s="125"/>
      <c r="O30" s="125"/>
      <c r="P30" s="124"/>
      <c r="Q30" s="125"/>
      <c r="R30" s="125"/>
      <c r="S30" s="124"/>
    </row>
    <row r="31" spans="1:19" ht="15" x14ac:dyDescent="0.25">
      <c r="A31" s="240">
        <v>4</v>
      </c>
      <c r="B31" s="240"/>
      <c r="C31" s="250" t="s">
        <v>149</v>
      </c>
      <c r="D31" s="251"/>
      <c r="E31" s="252"/>
      <c r="F31" s="253"/>
      <c r="G31" s="236"/>
      <c r="H31" s="125"/>
      <c r="I31" s="125"/>
      <c r="J31" s="124"/>
      <c r="K31" s="125"/>
      <c r="L31" s="125"/>
      <c r="M31" s="124"/>
      <c r="N31" s="125"/>
      <c r="O31" s="125"/>
      <c r="P31" s="124"/>
      <c r="Q31" s="125"/>
      <c r="R31" s="125"/>
      <c r="S31" s="124"/>
    </row>
    <row r="32" spans="1:19" ht="25.5" x14ac:dyDescent="0.25">
      <c r="A32" s="243" t="s">
        <v>150</v>
      </c>
      <c r="B32" s="243">
        <v>13</v>
      </c>
      <c r="C32" s="244" t="s">
        <v>151</v>
      </c>
      <c r="D32" s="243" t="s">
        <v>11</v>
      </c>
      <c r="E32" s="245">
        <v>5.78</v>
      </c>
      <c r="F32" s="246">
        <v>706597</v>
      </c>
      <c r="G32" s="236">
        <f t="shared" si="8"/>
        <v>4084131</v>
      </c>
      <c r="H32" s="125">
        <v>706597</v>
      </c>
      <c r="I32" s="125">
        <f t="shared" si="0"/>
        <v>4084131</v>
      </c>
      <c r="J32" s="124" t="str">
        <f t="shared" si="9"/>
        <v>OK</v>
      </c>
      <c r="K32" s="125"/>
      <c r="L32" s="125">
        <f t="shared" si="10"/>
        <v>0</v>
      </c>
      <c r="M32" s="124" t="str">
        <f t="shared" si="11"/>
        <v>OK</v>
      </c>
      <c r="N32" s="125"/>
      <c r="O32" s="125">
        <f t="shared" ref="O32:O44" si="20">ROUND($E32*N32,0)</f>
        <v>0</v>
      </c>
      <c r="P32" s="124" t="str">
        <f t="shared" ref="P32:P44" si="21">+IF(N32&lt;=$F32,"OK","NO OK")</f>
        <v>OK</v>
      </c>
      <c r="Q32" s="125"/>
      <c r="R32" s="125">
        <f t="shared" ref="R32:R44" si="22">ROUND($E32*Q32,0)</f>
        <v>0</v>
      </c>
      <c r="S32" s="124" t="str">
        <f t="shared" ref="S32:S44" si="23">+IF(Q32&lt;=$F32,"OK","NO OK")</f>
        <v>OK</v>
      </c>
    </row>
    <row r="33" spans="1:19" ht="25.5" x14ac:dyDescent="0.25">
      <c r="A33" s="243" t="s">
        <v>152</v>
      </c>
      <c r="B33" s="243">
        <v>65</v>
      </c>
      <c r="C33" s="244" t="s">
        <v>153</v>
      </c>
      <c r="D33" s="243" t="s">
        <v>11</v>
      </c>
      <c r="E33" s="245">
        <v>2.0099999999999998</v>
      </c>
      <c r="F33" s="246">
        <v>678419</v>
      </c>
      <c r="G33" s="236">
        <f t="shared" si="8"/>
        <v>1363622</v>
      </c>
      <c r="H33" s="125">
        <v>678419</v>
      </c>
      <c r="I33" s="125">
        <f t="shared" si="0"/>
        <v>1363622</v>
      </c>
      <c r="J33" s="124" t="str">
        <f t="shared" si="9"/>
        <v>OK</v>
      </c>
      <c r="K33" s="125"/>
      <c r="L33" s="125">
        <f t="shared" si="10"/>
        <v>0</v>
      </c>
      <c r="M33" s="124" t="str">
        <f t="shared" si="11"/>
        <v>OK</v>
      </c>
      <c r="N33" s="125"/>
      <c r="O33" s="125">
        <f t="shared" si="20"/>
        <v>0</v>
      </c>
      <c r="P33" s="124" t="str">
        <f t="shared" si="21"/>
        <v>OK</v>
      </c>
      <c r="Q33" s="125"/>
      <c r="R33" s="125">
        <f t="shared" si="22"/>
        <v>0</v>
      </c>
      <c r="S33" s="124" t="str">
        <f t="shared" si="23"/>
        <v>OK</v>
      </c>
    </row>
    <row r="34" spans="1:19" ht="25.5" x14ac:dyDescent="0.25">
      <c r="A34" s="243" t="s">
        <v>154</v>
      </c>
      <c r="B34" s="243">
        <v>66</v>
      </c>
      <c r="C34" s="244" t="s">
        <v>155</v>
      </c>
      <c r="D34" s="243" t="s">
        <v>11</v>
      </c>
      <c r="E34" s="245">
        <v>20.260000000000002</v>
      </c>
      <c r="F34" s="246">
        <v>678419</v>
      </c>
      <c r="G34" s="236">
        <f t="shared" si="8"/>
        <v>13744769</v>
      </c>
      <c r="H34" s="125">
        <v>678419</v>
      </c>
      <c r="I34" s="125">
        <f t="shared" si="0"/>
        <v>13744769</v>
      </c>
      <c r="J34" s="124" t="str">
        <f t="shared" si="9"/>
        <v>OK</v>
      </c>
      <c r="K34" s="125"/>
      <c r="L34" s="125">
        <f t="shared" si="10"/>
        <v>0</v>
      </c>
      <c r="M34" s="124" t="str">
        <f t="shared" si="11"/>
        <v>OK</v>
      </c>
      <c r="N34" s="125"/>
      <c r="O34" s="125">
        <f t="shared" si="20"/>
        <v>0</v>
      </c>
      <c r="P34" s="124" t="str">
        <f t="shared" si="21"/>
        <v>OK</v>
      </c>
      <c r="Q34" s="125"/>
      <c r="R34" s="125">
        <f t="shared" si="22"/>
        <v>0</v>
      </c>
      <c r="S34" s="124" t="str">
        <f t="shared" si="23"/>
        <v>OK</v>
      </c>
    </row>
    <row r="35" spans="1:19" ht="25.5" x14ac:dyDescent="0.25">
      <c r="A35" s="243" t="s">
        <v>156</v>
      </c>
      <c r="B35" s="243">
        <v>67</v>
      </c>
      <c r="C35" s="244" t="s">
        <v>157</v>
      </c>
      <c r="D35" s="243" t="s">
        <v>11</v>
      </c>
      <c r="E35" s="245">
        <v>73.2</v>
      </c>
      <c r="F35" s="246">
        <v>678419</v>
      </c>
      <c r="G35" s="236">
        <f t="shared" si="8"/>
        <v>49660271</v>
      </c>
      <c r="H35" s="125">
        <v>678419</v>
      </c>
      <c r="I35" s="125">
        <f t="shared" si="0"/>
        <v>49660271</v>
      </c>
      <c r="J35" s="124" t="str">
        <f t="shared" si="9"/>
        <v>OK</v>
      </c>
      <c r="K35" s="125"/>
      <c r="L35" s="125">
        <f t="shared" si="10"/>
        <v>0</v>
      </c>
      <c r="M35" s="124" t="str">
        <f t="shared" si="11"/>
        <v>OK</v>
      </c>
      <c r="N35" s="125"/>
      <c r="O35" s="125">
        <f t="shared" si="20"/>
        <v>0</v>
      </c>
      <c r="P35" s="124" t="str">
        <f t="shared" si="21"/>
        <v>OK</v>
      </c>
      <c r="Q35" s="125"/>
      <c r="R35" s="125">
        <f t="shared" si="22"/>
        <v>0</v>
      </c>
      <c r="S35" s="124" t="str">
        <f t="shared" si="23"/>
        <v>OK</v>
      </c>
    </row>
    <row r="36" spans="1:19" ht="25.5" x14ac:dyDescent="0.25">
      <c r="A36" s="243" t="s">
        <v>158</v>
      </c>
      <c r="B36" s="243">
        <v>68</v>
      </c>
      <c r="C36" s="244" t="s">
        <v>159</v>
      </c>
      <c r="D36" s="243" t="s">
        <v>11</v>
      </c>
      <c r="E36" s="245">
        <v>1.77</v>
      </c>
      <c r="F36" s="246">
        <v>678419</v>
      </c>
      <c r="G36" s="236">
        <f t="shared" si="8"/>
        <v>1200802</v>
      </c>
      <c r="H36" s="125">
        <v>678419</v>
      </c>
      <c r="I36" s="125">
        <f t="shared" si="0"/>
        <v>1200802</v>
      </c>
      <c r="J36" s="124" t="str">
        <f t="shared" si="9"/>
        <v>OK</v>
      </c>
      <c r="K36" s="125"/>
      <c r="L36" s="125">
        <f t="shared" si="10"/>
        <v>0</v>
      </c>
      <c r="M36" s="124" t="str">
        <f t="shared" si="11"/>
        <v>OK</v>
      </c>
      <c r="N36" s="125"/>
      <c r="O36" s="125">
        <f t="shared" si="20"/>
        <v>0</v>
      </c>
      <c r="P36" s="124" t="str">
        <f t="shared" si="21"/>
        <v>OK</v>
      </c>
      <c r="Q36" s="125"/>
      <c r="R36" s="125">
        <f t="shared" si="22"/>
        <v>0</v>
      </c>
      <c r="S36" s="124" t="str">
        <f t="shared" si="23"/>
        <v>OK</v>
      </c>
    </row>
    <row r="37" spans="1:19" ht="25.5" x14ac:dyDescent="0.25">
      <c r="A37" s="243" t="s">
        <v>160</v>
      </c>
      <c r="B37" s="243">
        <v>69</v>
      </c>
      <c r="C37" s="244" t="s">
        <v>161</v>
      </c>
      <c r="D37" s="243" t="s">
        <v>11</v>
      </c>
      <c r="E37" s="245">
        <v>2.52</v>
      </c>
      <c r="F37" s="246">
        <v>678419</v>
      </c>
      <c r="G37" s="236">
        <f t="shared" si="8"/>
        <v>1709616</v>
      </c>
      <c r="H37" s="125">
        <v>678419</v>
      </c>
      <c r="I37" s="125">
        <f t="shared" si="0"/>
        <v>1709616</v>
      </c>
      <c r="J37" s="124" t="str">
        <f t="shared" si="9"/>
        <v>OK</v>
      </c>
      <c r="K37" s="125"/>
      <c r="L37" s="125">
        <f t="shared" si="10"/>
        <v>0</v>
      </c>
      <c r="M37" s="124" t="str">
        <f t="shared" si="11"/>
        <v>OK</v>
      </c>
      <c r="N37" s="125"/>
      <c r="O37" s="125">
        <f t="shared" si="20"/>
        <v>0</v>
      </c>
      <c r="P37" s="124" t="str">
        <f t="shared" si="21"/>
        <v>OK</v>
      </c>
      <c r="Q37" s="125"/>
      <c r="R37" s="125">
        <f t="shared" si="22"/>
        <v>0</v>
      </c>
      <c r="S37" s="124" t="str">
        <f t="shared" si="23"/>
        <v>OK</v>
      </c>
    </row>
    <row r="38" spans="1:19" ht="25.5" x14ac:dyDescent="0.25">
      <c r="A38" s="243" t="s">
        <v>162</v>
      </c>
      <c r="B38" s="243">
        <v>70</v>
      </c>
      <c r="C38" s="244" t="s">
        <v>163</v>
      </c>
      <c r="D38" s="243" t="s">
        <v>11</v>
      </c>
      <c r="E38" s="245">
        <v>0.49</v>
      </c>
      <c r="F38" s="246">
        <v>678419</v>
      </c>
      <c r="G38" s="236">
        <f t="shared" si="8"/>
        <v>332425</v>
      </c>
      <c r="H38" s="125">
        <v>678419</v>
      </c>
      <c r="I38" s="125">
        <f t="shared" si="0"/>
        <v>332425</v>
      </c>
      <c r="J38" s="124" t="str">
        <f t="shared" si="9"/>
        <v>OK</v>
      </c>
      <c r="K38" s="125"/>
      <c r="L38" s="125">
        <f t="shared" si="10"/>
        <v>0</v>
      </c>
      <c r="M38" s="124" t="str">
        <f t="shared" si="11"/>
        <v>OK</v>
      </c>
      <c r="N38" s="125"/>
      <c r="O38" s="125">
        <f t="shared" si="20"/>
        <v>0</v>
      </c>
      <c r="P38" s="124" t="str">
        <f t="shared" si="21"/>
        <v>OK</v>
      </c>
      <c r="Q38" s="125"/>
      <c r="R38" s="125">
        <f t="shared" si="22"/>
        <v>0</v>
      </c>
      <c r="S38" s="124" t="str">
        <f t="shared" si="23"/>
        <v>OK</v>
      </c>
    </row>
    <row r="39" spans="1:19" ht="25.5" x14ac:dyDescent="0.25">
      <c r="A39" s="243" t="s">
        <v>164</v>
      </c>
      <c r="B39" s="243">
        <v>71</v>
      </c>
      <c r="C39" s="244" t="s">
        <v>165</v>
      </c>
      <c r="D39" s="243" t="s">
        <v>11</v>
      </c>
      <c r="E39" s="245">
        <v>13.29</v>
      </c>
      <c r="F39" s="246">
        <v>678419</v>
      </c>
      <c r="G39" s="236">
        <f t="shared" si="8"/>
        <v>9016189</v>
      </c>
      <c r="H39" s="125">
        <v>678419</v>
      </c>
      <c r="I39" s="125">
        <f t="shared" si="0"/>
        <v>9016189</v>
      </c>
      <c r="J39" s="124" t="str">
        <f t="shared" si="9"/>
        <v>OK</v>
      </c>
      <c r="K39" s="125"/>
      <c r="L39" s="125">
        <f t="shared" si="10"/>
        <v>0</v>
      </c>
      <c r="M39" s="124" t="str">
        <f t="shared" si="11"/>
        <v>OK</v>
      </c>
      <c r="N39" s="125"/>
      <c r="O39" s="125">
        <f t="shared" si="20"/>
        <v>0</v>
      </c>
      <c r="P39" s="124" t="str">
        <f t="shared" si="21"/>
        <v>OK</v>
      </c>
      <c r="Q39" s="125"/>
      <c r="R39" s="125">
        <f t="shared" si="22"/>
        <v>0</v>
      </c>
      <c r="S39" s="124" t="str">
        <f t="shared" si="23"/>
        <v>OK</v>
      </c>
    </row>
    <row r="40" spans="1:19" ht="25.5" x14ac:dyDescent="0.25">
      <c r="A40" s="243" t="s">
        <v>166</v>
      </c>
      <c r="B40" s="243">
        <v>72</v>
      </c>
      <c r="C40" s="244" t="s">
        <v>167</v>
      </c>
      <c r="D40" s="243" t="s">
        <v>11</v>
      </c>
      <c r="E40" s="245">
        <v>1.5</v>
      </c>
      <c r="F40" s="246">
        <v>678419</v>
      </c>
      <c r="G40" s="236">
        <f t="shared" si="8"/>
        <v>1017629</v>
      </c>
      <c r="H40" s="125">
        <v>678419</v>
      </c>
      <c r="I40" s="125">
        <f t="shared" si="0"/>
        <v>1017629</v>
      </c>
      <c r="J40" s="124" t="str">
        <f t="shared" si="9"/>
        <v>OK</v>
      </c>
      <c r="K40" s="125"/>
      <c r="L40" s="125">
        <f t="shared" si="10"/>
        <v>0</v>
      </c>
      <c r="M40" s="124" t="str">
        <f t="shared" si="11"/>
        <v>OK</v>
      </c>
      <c r="N40" s="125"/>
      <c r="O40" s="125">
        <f t="shared" si="20"/>
        <v>0</v>
      </c>
      <c r="P40" s="124" t="str">
        <f t="shared" si="21"/>
        <v>OK</v>
      </c>
      <c r="Q40" s="125"/>
      <c r="R40" s="125">
        <f t="shared" si="22"/>
        <v>0</v>
      </c>
      <c r="S40" s="124" t="str">
        <f t="shared" si="23"/>
        <v>OK</v>
      </c>
    </row>
    <row r="41" spans="1:19" ht="38.25" x14ac:dyDescent="0.25">
      <c r="A41" s="243" t="s">
        <v>168</v>
      </c>
      <c r="B41" s="243">
        <v>73</v>
      </c>
      <c r="C41" s="244" t="s">
        <v>169</v>
      </c>
      <c r="D41" s="243" t="s">
        <v>11</v>
      </c>
      <c r="E41" s="245">
        <v>36.18</v>
      </c>
      <c r="F41" s="246">
        <v>678419</v>
      </c>
      <c r="G41" s="236">
        <f t="shared" si="8"/>
        <v>24545199</v>
      </c>
      <c r="H41" s="125">
        <v>678419</v>
      </c>
      <c r="I41" s="125">
        <f t="shared" si="0"/>
        <v>24545199</v>
      </c>
      <c r="J41" s="124" t="str">
        <f t="shared" si="9"/>
        <v>OK</v>
      </c>
      <c r="K41" s="125"/>
      <c r="L41" s="125">
        <f t="shared" si="10"/>
        <v>0</v>
      </c>
      <c r="M41" s="124" t="str">
        <f t="shared" si="11"/>
        <v>OK</v>
      </c>
      <c r="N41" s="125"/>
      <c r="O41" s="125">
        <f t="shared" si="20"/>
        <v>0</v>
      </c>
      <c r="P41" s="124" t="str">
        <f t="shared" si="21"/>
        <v>OK</v>
      </c>
      <c r="Q41" s="125"/>
      <c r="R41" s="125">
        <f t="shared" si="22"/>
        <v>0</v>
      </c>
      <c r="S41" s="124" t="str">
        <f t="shared" si="23"/>
        <v>OK</v>
      </c>
    </row>
    <row r="42" spans="1:19" ht="25.5" x14ac:dyDescent="0.25">
      <c r="A42" s="243" t="s">
        <v>170</v>
      </c>
      <c r="B42" s="243">
        <v>14</v>
      </c>
      <c r="C42" s="244" t="s">
        <v>171</v>
      </c>
      <c r="D42" s="243" t="s">
        <v>11</v>
      </c>
      <c r="E42" s="245">
        <v>3.25</v>
      </c>
      <c r="F42" s="246">
        <v>445736</v>
      </c>
      <c r="G42" s="236">
        <f t="shared" si="8"/>
        <v>1448642</v>
      </c>
      <c r="H42" s="125">
        <v>445736</v>
      </c>
      <c r="I42" s="125">
        <f t="shared" si="0"/>
        <v>1448642</v>
      </c>
      <c r="J42" s="124" t="str">
        <f t="shared" si="9"/>
        <v>OK</v>
      </c>
      <c r="K42" s="125"/>
      <c r="L42" s="125">
        <f t="shared" si="10"/>
        <v>0</v>
      </c>
      <c r="M42" s="124" t="str">
        <f t="shared" si="11"/>
        <v>OK</v>
      </c>
      <c r="N42" s="125"/>
      <c r="O42" s="125">
        <f t="shared" si="20"/>
        <v>0</v>
      </c>
      <c r="P42" s="124" t="str">
        <f t="shared" si="21"/>
        <v>OK</v>
      </c>
      <c r="Q42" s="125"/>
      <c r="R42" s="125">
        <f t="shared" si="22"/>
        <v>0</v>
      </c>
      <c r="S42" s="124" t="str">
        <f t="shared" si="23"/>
        <v>OK</v>
      </c>
    </row>
    <row r="43" spans="1:19" ht="15" x14ac:dyDescent="0.25">
      <c r="A43" s="243" t="s">
        <v>172</v>
      </c>
      <c r="B43" s="243">
        <v>15</v>
      </c>
      <c r="C43" s="244" t="s">
        <v>173</v>
      </c>
      <c r="D43" s="243" t="s">
        <v>76</v>
      </c>
      <c r="E43" s="245">
        <v>442</v>
      </c>
      <c r="F43" s="246">
        <v>4946</v>
      </c>
      <c r="G43" s="236">
        <f t="shared" si="8"/>
        <v>2186132</v>
      </c>
      <c r="H43" s="125">
        <v>4946</v>
      </c>
      <c r="I43" s="125">
        <f t="shared" si="0"/>
        <v>2186132</v>
      </c>
      <c r="J43" s="124" t="str">
        <f t="shared" si="9"/>
        <v>OK</v>
      </c>
      <c r="K43" s="125"/>
      <c r="L43" s="125">
        <f t="shared" si="10"/>
        <v>0</v>
      </c>
      <c r="M43" s="124" t="str">
        <f t="shared" si="11"/>
        <v>OK</v>
      </c>
      <c r="N43" s="125"/>
      <c r="O43" s="125">
        <f t="shared" si="20"/>
        <v>0</v>
      </c>
      <c r="P43" s="124" t="str">
        <f t="shared" si="21"/>
        <v>OK</v>
      </c>
      <c r="Q43" s="125"/>
      <c r="R43" s="125">
        <f t="shared" si="22"/>
        <v>0</v>
      </c>
      <c r="S43" s="124" t="str">
        <f t="shared" si="23"/>
        <v>OK</v>
      </c>
    </row>
    <row r="44" spans="1:19" ht="38.25" x14ac:dyDescent="0.25">
      <c r="A44" s="243" t="s">
        <v>174</v>
      </c>
      <c r="B44" s="243">
        <v>82</v>
      </c>
      <c r="C44" s="244" t="s">
        <v>175</v>
      </c>
      <c r="D44" s="243" t="s">
        <v>76</v>
      </c>
      <c r="E44" s="245">
        <v>7252</v>
      </c>
      <c r="F44" s="246">
        <v>4946</v>
      </c>
      <c r="G44" s="236">
        <f t="shared" si="8"/>
        <v>35868392</v>
      </c>
      <c r="H44" s="125">
        <v>4946</v>
      </c>
      <c r="I44" s="125">
        <f t="shared" si="0"/>
        <v>35868392</v>
      </c>
      <c r="J44" s="124" t="str">
        <f t="shared" si="9"/>
        <v>OK</v>
      </c>
      <c r="K44" s="125"/>
      <c r="L44" s="125">
        <f t="shared" si="10"/>
        <v>0</v>
      </c>
      <c r="M44" s="124" t="str">
        <f t="shared" si="11"/>
        <v>OK</v>
      </c>
      <c r="N44" s="125"/>
      <c r="O44" s="125">
        <f t="shared" si="20"/>
        <v>0</v>
      </c>
      <c r="P44" s="124" t="str">
        <f t="shared" si="21"/>
        <v>OK</v>
      </c>
      <c r="Q44" s="125"/>
      <c r="R44" s="125">
        <f t="shared" si="22"/>
        <v>0</v>
      </c>
      <c r="S44" s="124" t="str">
        <f t="shared" si="23"/>
        <v>OK</v>
      </c>
    </row>
    <row r="45" spans="1:19" ht="15" x14ac:dyDescent="0.25">
      <c r="A45" s="251"/>
      <c r="B45" s="251"/>
      <c r="C45" s="255" t="s">
        <v>130</v>
      </c>
      <c r="D45" s="240"/>
      <c r="E45" s="248"/>
      <c r="F45" s="249"/>
      <c r="G45" s="236"/>
      <c r="H45" s="125"/>
      <c r="I45" s="125"/>
      <c r="J45" s="124"/>
      <c r="K45" s="125"/>
      <c r="L45" s="125"/>
      <c r="M45" s="124"/>
      <c r="N45" s="125"/>
      <c r="O45" s="125"/>
      <c r="P45" s="124"/>
      <c r="Q45" s="125"/>
      <c r="R45" s="125"/>
      <c r="S45" s="124"/>
    </row>
    <row r="46" spans="1:19" ht="15" x14ac:dyDescent="0.25">
      <c r="A46" s="240">
        <v>5</v>
      </c>
      <c r="B46" s="240"/>
      <c r="C46" s="255" t="s">
        <v>176</v>
      </c>
      <c r="D46" s="251"/>
      <c r="E46" s="252"/>
      <c r="F46" s="253"/>
      <c r="G46" s="236"/>
      <c r="H46" s="125"/>
      <c r="I46" s="125"/>
      <c r="J46" s="124"/>
      <c r="K46" s="125"/>
      <c r="L46" s="125"/>
      <c r="M46" s="124"/>
      <c r="N46" s="125"/>
      <c r="O46" s="125"/>
      <c r="P46" s="124"/>
      <c r="Q46" s="125"/>
      <c r="R46" s="125"/>
      <c r="S46" s="124"/>
    </row>
    <row r="47" spans="1:19" ht="114.75" x14ac:dyDescent="0.25">
      <c r="A47" s="243" t="s">
        <v>177</v>
      </c>
      <c r="B47" s="243">
        <v>16</v>
      </c>
      <c r="C47" s="244" t="s">
        <v>178</v>
      </c>
      <c r="D47" s="243" t="s">
        <v>75</v>
      </c>
      <c r="E47" s="245">
        <v>125.73</v>
      </c>
      <c r="F47" s="246">
        <v>438834</v>
      </c>
      <c r="G47" s="236">
        <f t="shared" si="8"/>
        <v>55174599</v>
      </c>
      <c r="H47" s="125">
        <v>438834</v>
      </c>
      <c r="I47" s="125">
        <f t="shared" si="0"/>
        <v>55174599</v>
      </c>
      <c r="J47" s="124" t="str">
        <f t="shared" si="9"/>
        <v>OK</v>
      </c>
      <c r="K47" s="125"/>
      <c r="L47" s="125">
        <f t="shared" si="10"/>
        <v>0</v>
      </c>
      <c r="M47" s="124" t="str">
        <f t="shared" si="11"/>
        <v>OK</v>
      </c>
      <c r="N47" s="125"/>
      <c r="O47" s="125">
        <f t="shared" ref="O47:O56" si="24">ROUND($E47*N47,0)</f>
        <v>0</v>
      </c>
      <c r="P47" s="124" t="str">
        <f t="shared" ref="P47:P56" si="25">+IF(N47&lt;=$F47,"OK","NO OK")</f>
        <v>OK</v>
      </c>
      <c r="Q47" s="125"/>
      <c r="R47" s="125">
        <f t="shared" ref="R47:R56" si="26">ROUND($E47*Q47,0)</f>
        <v>0</v>
      </c>
      <c r="S47" s="124" t="str">
        <f t="shared" ref="S47:S56" si="27">+IF(Q47&lt;=$F47,"OK","NO OK")</f>
        <v>OK</v>
      </c>
    </row>
    <row r="48" spans="1:19" ht="89.25" x14ac:dyDescent="0.25">
      <c r="A48" s="243" t="s">
        <v>179</v>
      </c>
      <c r="B48" s="243">
        <v>17</v>
      </c>
      <c r="C48" s="244" t="s">
        <v>180</v>
      </c>
      <c r="D48" s="243" t="s">
        <v>75</v>
      </c>
      <c r="E48" s="245">
        <v>310.76</v>
      </c>
      <c r="F48" s="246">
        <v>221142</v>
      </c>
      <c r="G48" s="236">
        <f t="shared" si="8"/>
        <v>68722088</v>
      </c>
      <c r="H48" s="125">
        <v>221142</v>
      </c>
      <c r="I48" s="125">
        <f t="shared" si="0"/>
        <v>68722088</v>
      </c>
      <c r="J48" s="124" t="str">
        <f t="shared" si="9"/>
        <v>OK</v>
      </c>
      <c r="K48" s="125"/>
      <c r="L48" s="125">
        <f t="shared" si="10"/>
        <v>0</v>
      </c>
      <c r="M48" s="124" t="str">
        <f t="shared" si="11"/>
        <v>OK</v>
      </c>
      <c r="N48" s="125"/>
      <c r="O48" s="125">
        <f t="shared" si="24"/>
        <v>0</v>
      </c>
      <c r="P48" s="124" t="str">
        <f t="shared" si="25"/>
        <v>OK</v>
      </c>
      <c r="Q48" s="125"/>
      <c r="R48" s="125">
        <f t="shared" si="26"/>
        <v>0</v>
      </c>
      <c r="S48" s="124" t="str">
        <f t="shared" si="27"/>
        <v>OK</v>
      </c>
    </row>
    <row r="49" spans="1:19" ht="51" x14ac:dyDescent="0.25">
      <c r="A49" s="243" t="s">
        <v>181</v>
      </c>
      <c r="B49" s="243">
        <v>18</v>
      </c>
      <c r="C49" s="244" t="s">
        <v>182</v>
      </c>
      <c r="D49" s="243" t="s">
        <v>183</v>
      </c>
      <c r="E49" s="245">
        <v>2</v>
      </c>
      <c r="F49" s="246">
        <v>1347574</v>
      </c>
      <c r="G49" s="236">
        <f t="shared" si="8"/>
        <v>2695148</v>
      </c>
      <c r="H49" s="125">
        <v>1347574</v>
      </c>
      <c r="I49" s="125">
        <f t="shared" si="0"/>
        <v>2695148</v>
      </c>
      <c r="J49" s="124" t="str">
        <f t="shared" si="9"/>
        <v>OK</v>
      </c>
      <c r="K49" s="125"/>
      <c r="L49" s="125">
        <f t="shared" si="10"/>
        <v>0</v>
      </c>
      <c r="M49" s="124" t="str">
        <f t="shared" si="11"/>
        <v>OK</v>
      </c>
      <c r="N49" s="125"/>
      <c r="O49" s="125">
        <f t="shared" si="24"/>
        <v>0</v>
      </c>
      <c r="P49" s="124" t="str">
        <f t="shared" si="25"/>
        <v>OK</v>
      </c>
      <c r="Q49" s="125"/>
      <c r="R49" s="125">
        <f t="shared" si="26"/>
        <v>0</v>
      </c>
      <c r="S49" s="124" t="str">
        <f t="shared" si="27"/>
        <v>OK</v>
      </c>
    </row>
    <row r="50" spans="1:19" ht="51" x14ac:dyDescent="0.25">
      <c r="A50" s="243" t="s">
        <v>184</v>
      </c>
      <c r="B50" s="243">
        <v>19</v>
      </c>
      <c r="C50" s="244" t="s">
        <v>185</v>
      </c>
      <c r="D50" s="243" t="s">
        <v>183</v>
      </c>
      <c r="E50" s="245">
        <v>2</v>
      </c>
      <c r="F50" s="246">
        <v>894205</v>
      </c>
      <c r="G50" s="236">
        <f t="shared" si="8"/>
        <v>1788410</v>
      </c>
      <c r="H50" s="125">
        <v>894205</v>
      </c>
      <c r="I50" s="125">
        <f t="shared" si="0"/>
        <v>1788410</v>
      </c>
      <c r="J50" s="124" t="str">
        <f t="shared" si="9"/>
        <v>OK</v>
      </c>
      <c r="K50" s="125"/>
      <c r="L50" s="125">
        <f t="shared" si="10"/>
        <v>0</v>
      </c>
      <c r="M50" s="124" t="str">
        <f t="shared" si="11"/>
        <v>OK</v>
      </c>
      <c r="N50" s="125"/>
      <c r="O50" s="125">
        <f t="shared" si="24"/>
        <v>0</v>
      </c>
      <c r="P50" s="124" t="str">
        <f t="shared" si="25"/>
        <v>OK</v>
      </c>
      <c r="Q50" s="125"/>
      <c r="R50" s="125">
        <f t="shared" si="26"/>
        <v>0</v>
      </c>
      <c r="S50" s="124" t="str">
        <f t="shared" si="27"/>
        <v>OK</v>
      </c>
    </row>
    <row r="51" spans="1:19" ht="51" x14ac:dyDescent="0.25">
      <c r="A51" s="243" t="s">
        <v>186</v>
      </c>
      <c r="B51" s="243">
        <v>20</v>
      </c>
      <c r="C51" s="244" t="s">
        <v>187</v>
      </c>
      <c r="D51" s="243" t="s">
        <v>183</v>
      </c>
      <c r="E51" s="245">
        <v>5</v>
      </c>
      <c r="F51" s="246">
        <v>486173</v>
      </c>
      <c r="G51" s="236">
        <f t="shared" si="8"/>
        <v>2430865</v>
      </c>
      <c r="H51" s="125">
        <v>486173</v>
      </c>
      <c r="I51" s="125">
        <f t="shared" si="0"/>
        <v>2430865</v>
      </c>
      <c r="J51" s="124" t="str">
        <f t="shared" si="9"/>
        <v>OK</v>
      </c>
      <c r="K51" s="125"/>
      <c r="L51" s="125">
        <f t="shared" si="10"/>
        <v>0</v>
      </c>
      <c r="M51" s="124" t="str">
        <f t="shared" si="11"/>
        <v>OK</v>
      </c>
      <c r="N51" s="125"/>
      <c r="O51" s="125">
        <f t="shared" si="24"/>
        <v>0</v>
      </c>
      <c r="P51" s="124" t="str">
        <f t="shared" si="25"/>
        <v>OK</v>
      </c>
      <c r="Q51" s="125"/>
      <c r="R51" s="125">
        <f t="shared" si="26"/>
        <v>0</v>
      </c>
      <c r="S51" s="124" t="str">
        <f t="shared" si="27"/>
        <v>OK</v>
      </c>
    </row>
    <row r="52" spans="1:19" ht="51" x14ac:dyDescent="0.25">
      <c r="A52" s="243" t="s">
        <v>188</v>
      </c>
      <c r="B52" s="243">
        <v>21</v>
      </c>
      <c r="C52" s="244" t="s">
        <v>189</v>
      </c>
      <c r="D52" s="243" t="s">
        <v>183</v>
      </c>
      <c r="E52" s="245">
        <v>1</v>
      </c>
      <c r="F52" s="246">
        <v>576846</v>
      </c>
      <c r="G52" s="236">
        <f t="shared" si="8"/>
        <v>576846</v>
      </c>
      <c r="H52" s="125">
        <v>576846</v>
      </c>
      <c r="I52" s="125">
        <f t="shared" si="0"/>
        <v>576846</v>
      </c>
      <c r="J52" s="124" t="str">
        <f t="shared" si="9"/>
        <v>OK</v>
      </c>
      <c r="K52" s="125"/>
      <c r="L52" s="125">
        <f t="shared" si="10"/>
        <v>0</v>
      </c>
      <c r="M52" s="124" t="str">
        <f t="shared" si="11"/>
        <v>OK</v>
      </c>
      <c r="N52" s="125"/>
      <c r="O52" s="125">
        <f t="shared" si="24"/>
        <v>0</v>
      </c>
      <c r="P52" s="124" t="str">
        <f t="shared" si="25"/>
        <v>OK</v>
      </c>
      <c r="Q52" s="125"/>
      <c r="R52" s="125">
        <f t="shared" si="26"/>
        <v>0</v>
      </c>
      <c r="S52" s="124" t="str">
        <f t="shared" si="27"/>
        <v>OK</v>
      </c>
    </row>
    <row r="53" spans="1:19" ht="51" x14ac:dyDescent="0.25">
      <c r="A53" s="243" t="s">
        <v>190</v>
      </c>
      <c r="B53" s="243">
        <v>22</v>
      </c>
      <c r="C53" s="244" t="s">
        <v>191</v>
      </c>
      <c r="D53" s="243" t="s">
        <v>183</v>
      </c>
      <c r="E53" s="245">
        <v>2</v>
      </c>
      <c r="F53" s="246">
        <v>2027627</v>
      </c>
      <c r="G53" s="236">
        <f t="shared" si="8"/>
        <v>4055254</v>
      </c>
      <c r="H53" s="125">
        <v>2027627</v>
      </c>
      <c r="I53" s="125">
        <f t="shared" si="0"/>
        <v>4055254</v>
      </c>
      <c r="J53" s="124" t="str">
        <f t="shared" si="9"/>
        <v>OK</v>
      </c>
      <c r="K53" s="125"/>
      <c r="L53" s="125">
        <f t="shared" si="10"/>
        <v>0</v>
      </c>
      <c r="M53" s="124" t="str">
        <f t="shared" si="11"/>
        <v>OK</v>
      </c>
      <c r="N53" s="125"/>
      <c r="O53" s="125">
        <f t="shared" si="24"/>
        <v>0</v>
      </c>
      <c r="P53" s="124" t="str">
        <f t="shared" si="25"/>
        <v>OK</v>
      </c>
      <c r="Q53" s="125"/>
      <c r="R53" s="125">
        <f t="shared" si="26"/>
        <v>0</v>
      </c>
      <c r="S53" s="124" t="str">
        <f t="shared" si="27"/>
        <v>OK</v>
      </c>
    </row>
    <row r="54" spans="1:19" ht="102" x14ac:dyDescent="0.25">
      <c r="A54" s="243" t="s">
        <v>192</v>
      </c>
      <c r="B54" s="243">
        <v>24</v>
      </c>
      <c r="C54" s="244" t="s">
        <v>193</v>
      </c>
      <c r="D54" s="243" t="s">
        <v>75</v>
      </c>
      <c r="E54" s="245">
        <v>101</v>
      </c>
      <c r="F54" s="246">
        <v>163199</v>
      </c>
      <c r="G54" s="236">
        <f t="shared" si="8"/>
        <v>16483099</v>
      </c>
      <c r="H54" s="125">
        <v>163199</v>
      </c>
      <c r="I54" s="125">
        <f t="shared" si="0"/>
        <v>16483099</v>
      </c>
      <c r="J54" s="124" t="str">
        <f t="shared" si="9"/>
        <v>OK</v>
      </c>
      <c r="K54" s="125"/>
      <c r="L54" s="125">
        <f t="shared" si="10"/>
        <v>0</v>
      </c>
      <c r="M54" s="124" t="str">
        <f t="shared" si="11"/>
        <v>OK</v>
      </c>
      <c r="N54" s="125"/>
      <c r="O54" s="125">
        <f t="shared" si="24"/>
        <v>0</v>
      </c>
      <c r="P54" s="124" t="str">
        <f t="shared" si="25"/>
        <v>OK</v>
      </c>
      <c r="Q54" s="125"/>
      <c r="R54" s="125">
        <f t="shared" si="26"/>
        <v>0</v>
      </c>
      <c r="S54" s="124" t="str">
        <f t="shared" si="27"/>
        <v>OK</v>
      </c>
    </row>
    <row r="55" spans="1:19" ht="114.75" x14ac:dyDescent="0.25">
      <c r="A55" s="243" t="s">
        <v>194</v>
      </c>
      <c r="B55" s="243">
        <v>16</v>
      </c>
      <c r="C55" s="244" t="s">
        <v>178</v>
      </c>
      <c r="D55" s="243" t="s">
        <v>75</v>
      </c>
      <c r="E55" s="245">
        <v>197.27</v>
      </c>
      <c r="F55" s="246">
        <v>438834</v>
      </c>
      <c r="G55" s="236">
        <f t="shared" si="8"/>
        <v>86568783</v>
      </c>
      <c r="H55" s="125">
        <v>438834</v>
      </c>
      <c r="I55" s="125">
        <f t="shared" si="0"/>
        <v>86568783</v>
      </c>
      <c r="J55" s="124" t="str">
        <f t="shared" si="9"/>
        <v>OK</v>
      </c>
      <c r="K55" s="125"/>
      <c r="L55" s="125">
        <f t="shared" si="10"/>
        <v>0</v>
      </c>
      <c r="M55" s="124" t="str">
        <f t="shared" si="11"/>
        <v>OK</v>
      </c>
      <c r="N55" s="125"/>
      <c r="O55" s="125">
        <f t="shared" si="24"/>
        <v>0</v>
      </c>
      <c r="P55" s="124" t="str">
        <f t="shared" si="25"/>
        <v>OK</v>
      </c>
      <c r="Q55" s="125"/>
      <c r="R55" s="125">
        <f t="shared" si="26"/>
        <v>0</v>
      </c>
      <c r="S55" s="124" t="str">
        <f t="shared" si="27"/>
        <v>OK</v>
      </c>
    </row>
    <row r="56" spans="1:19" ht="63.75" x14ac:dyDescent="0.25">
      <c r="A56" s="243" t="s">
        <v>177</v>
      </c>
      <c r="B56" s="243"/>
      <c r="C56" s="244" t="s">
        <v>195</v>
      </c>
      <c r="D56" s="243" t="s">
        <v>75</v>
      </c>
      <c r="E56" s="245">
        <v>101</v>
      </c>
      <c r="F56" s="246">
        <v>355256</v>
      </c>
      <c r="G56" s="236">
        <f t="shared" si="8"/>
        <v>35880856</v>
      </c>
      <c r="H56" s="125">
        <v>355256</v>
      </c>
      <c r="I56" s="125">
        <f t="shared" si="0"/>
        <v>35880856</v>
      </c>
      <c r="J56" s="124" t="str">
        <f t="shared" si="9"/>
        <v>OK</v>
      </c>
      <c r="K56" s="125"/>
      <c r="L56" s="125">
        <f t="shared" si="10"/>
        <v>0</v>
      </c>
      <c r="M56" s="124" t="str">
        <f t="shared" si="11"/>
        <v>OK</v>
      </c>
      <c r="N56" s="125"/>
      <c r="O56" s="125">
        <f t="shared" si="24"/>
        <v>0</v>
      </c>
      <c r="P56" s="124" t="str">
        <f t="shared" si="25"/>
        <v>OK</v>
      </c>
      <c r="Q56" s="125"/>
      <c r="R56" s="125">
        <f t="shared" si="26"/>
        <v>0</v>
      </c>
      <c r="S56" s="124" t="str">
        <f t="shared" si="27"/>
        <v>OK</v>
      </c>
    </row>
    <row r="57" spans="1:19" ht="15" x14ac:dyDescent="0.25">
      <c r="A57" s="240"/>
      <c r="B57" s="240"/>
      <c r="C57" s="255" t="s">
        <v>130</v>
      </c>
      <c r="D57" s="240"/>
      <c r="E57" s="256"/>
      <c r="F57" s="249"/>
      <c r="G57" s="236"/>
      <c r="H57" s="125"/>
      <c r="I57" s="125"/>
      <c r="J57" s="124"/>
      <c r="K57" s="125"/>
      <c r="L57" s="125"/>
      <c r="M57" s="124"/>
      <c r="N57" s="125"/>
      <c r="O57" s="125"/>
      <c r="P57" s="124"/>
      <c r="Q57" s="125"/>
      <c r="R57" s="125"/>
      <c r="S57" s="124"/>
    </row>
    <row r="58" spans="1:19" ht="15" x14ac:dyDescent="0.25">
      <c r="A58" s="257" t="s">
        <v>196</v>
      </c>
      <c r="B58" s="257"/>
      <c r="C58" s="258" t="s">
        <v>197</v>
      </c>
      <c r="D58" s="259"/>
      <c r="E58" s="260"/>
      <c r="F58" s="261"/>
      <c r="G58" s="236"/>
      <c r="H58" s="125"/>
      <c r="I58" s="125"/>
      <c r="J58" s="124"/>
      <c r="K58" s="125"/>
      <c r="L58" s="125"/>
      <c r="M58" s="124"/>
      <c r="N58" s="125"/>
      <c r="O58" s="125"/>
      <c r="P58" s="124"/>
      <c r="Q58" s="125"/>
      <c r="R58" s="125"/>
      <c r="S58" s="124"/>
    </row>
    <row r="59" spans="1:19" ht="15" x14ac:dyDescent="0.25">
      <c r="A59" s="262">
        <v>6</v>
      </c>
      <c r="B59" s="262"/>
      <c r="C59" s="263" t="s">
        <v>198</v>
      </c>
      <c r="D59" s="264"/>
      <c r="E59" s="265"/>
      <c r="F59" s="266"/>
      <c r="G59" s="236"/>
      <c r="H59" s="125"/>
      <c r="I59" s="125"/>
      <c r="J59" s="124"/>
      <c r="K59" s="125"/>
      <c r="L59" s="125"/>
      <c r="M59" s="124"/>
      <c r="N59" s="125"/>
      <c r="O59" s="125"/>
      <c r="P59" s="124"/>
      <c r="Q59" s="125"/>
      <c r="R59" s="125"/>
      <c r="S59" s="124"/>
    </row>
    <row r="60" spans="1:19" ht="25.5" x14ac:dyDescent="0.25">
      <c r="A60" s="267" t="s">
        <v>199</v>
      </c>
      <c r="B60" s="267">
        <v>25</v>
      </c>
      <c r="C60" s="244" t="s">
        <v>200</v>
      </c>
      <c r="D60" s="243" t="s">
        <v>7</v>
      </c>
      <c r="E60" s="245">
        <v>56</v>
      </c>
      <c r="F60" s="246">
        <v>51056</v>
      </c>
      <c r="G60" s="236">
        <f t="shared" si="8"/>
        <v>2859136</v>
      </c>
      <c r="H60" s="125">
        <v>51056</v>
      </c>
      <c r="I60" s="125">
        <f t="shared" si="0"/>
        <v>2859136</v>
      </c>
      <c r="J60" s="124" t="str">
        <f t="shared" si="9"/>
        <v>OK</v>
      </c>
      <c r="K60" s="125"/>
      <c r="L60" s="125">
        <f t="shared" si="10"/>
        <v>0</v>
      </c>
      <c r="M60" s="124" t="str">
        <f t="shared" si="11"/>
        <v>OK</v>
      </c>
      <c r="N60" s="125"/>
      <c r="O60" s="125">
        <f t="shared" ref="O60:O66" si="28">ROUND($E60*N60,0)</f>
        <v>0</v>
      </c>
      <c r="P60" s="124" t="str">
        <f t="shared" ref="P60:P66" si="29">+IF(N60&lt;=$F60,"OK","NO OK")</f>
        <v>OK</v>
      </c>
      <c r="Q60" s="125"/>
      <c r="R60" s="125">
        <f t="shared" ref="R60:R66" si="30">ROUND($E60*Q60,0)</f>
        <v>0</v>
      </c>
      <c r="S60" s="124" t="str">
        <f t="shared" ref="S60:S66" si="31">+IF(Q60&lt;=$F60,"OK","NO OK")</f>
        <v>OK</v>
      </c>
    </row>
    <row r="61" spans="1:19" ht="25.5" x14ac:dyDescent="0.25">
      <c r="A61" s="267" t="s">
        <v>201</v>
      </c>
      <c r="B61" s="267">
        <v>88</v>
      </c>
      <c r="C61" s="244" t="s">
        <v>202</v>
      </c>
      <c r="D61" s="243" t="s">
        <v>11</v>
      </c>
      <c r="E61" s="245">
        <v>30.8</v>
      </c>
      <c r="F61" s="246">
        <v>11376</v>
      </c>
      <c r="G61" s="236">
        <f t="shared" si="8"/>
        <v>350381</v>
      </c>
      <c r="H61" s="125">
        <v>11376</v>
      </c>
      <c r="I61" s="125">
        <f t="shared" si="0"/>
        <v>350381</v>
      </c>
      <c r="J61" s="124" t="str">
        <f t="shared" si="9"/>
        <v>OK</v>
      </c>
      <c r="K61" s="125"/>
      <c r="L61" s="125">
        <f t="shared" si="10"/>
        <v>0</v>
      </c>
      <c r="M61" s="124" t="str">
        <f t="shared" si="11"/>
        <v>OK</v>
      </c>
      <c r="N61" s="125"/>
      <c r="O61" s="125">
        <f t="shared" si="28"/>
        <v>0</v>
      </c>
      <c r="P61" s="124" t="str">
        <f t="shared" si="29"/>
        <v>OK</v>
      </c>
      <c r="Q61" s="125"/>
      <c r="R61" s="125">
        <f t="shared" si="30"/>
        <v>0</v>
      </c>
      <c r="S61" s="124" t="str">
        <f t="shared" si="31"/>
        <v>OK</v>
      </c>
    </row>
    <row r="62" spans="1:19" ht="15" x14ac:dyDescent="0.25">
      <c r="A62" s="267" t="s">
        <v>203</v>
      </c>
      <c r="B62" s="267">
        <v>27</v>
      </c>
      <c r="C62" s="244" t="s">
        <v>204</v>
      </c>
      <c r="D62" s="243" t="s">
        <v>7</v>
      </c>
      <c r="E62" s="245">
        <v>56</v>
      </c>
      <c r="F62" s="246">
        <v>40276</v>
      </c>
      <c r="G62" s="236">
        <f t="shared" si="8"/>
        <v>2255456</v>
      </c>
      <c r="H62" s="125">
        <v>40276</v>
      </c>
      <c r="I62" s="125">
        <f t="shared" si="0"/>
        <v>2255456</v>
      </c>
      <c r="J62" s="124" t="str">
        <f t="shared" si="9"/>
        <v>OK</v>
      </c>
      <c r="K62" s="125"/>
      <c r="L62" s="125">
        <f t="shared" si="10"/>
        <v>0</v>
      </c>
      <c r="M62" s="124" t="str">
        <f t="shared" si="11"/>
        <v>OK</v>
      </c>
      <c r="N62" s="125"/>
      <c r="O62" s="125">
        <f t="shared" si="28"/>
        <v>0</v>
      </c>
      <c r="P62" s="124" t="str">
        <f t="shared" si="29"/>
        <v>OK</v>
      </c>
      <c r="Q62" s="125"/>
      <c r="R62" s="125">
        <f t="shared" si="30"/>
        <v>0</v>
      </c>
      <c r="S62" s="124" t="str">
        <f t="shared" si="31"/>
        <v>OK</v>
      </c>
    </row>
    <row r="63" spans="1:19" ht="15" x14ac:dyDescent="0.25">
      <c r="A63" s="267" t="s">
        <v>205</v>
      </c>
      <c r="B63" s="267">
        <v>28</v>
      </c>
      <c r="C63" s="244" t="s">
        <v>206</v>
      </c>
      <c r="D63" s="243" t="s">
        <v>11</v>
      </c>
      <c r="E63" s="245">
        <v>2.35</v>
      </c>
      <c r="F63" s="246">
        <v>743157</v>
      </c>
      <c r="G63" s="236">
        <f t="shared" si="8"/>
        <v>1746419</v>
      </c>
      <c r="H63" s="125">
        <v>743157</v>
      </c>
      <c r="I63" s="125">
        <f t="shared" si="0"/>
        <v>1746419</v>
      </c>
      <c r="J63" s="124" t="str">
        <f t="shared" si="9"/>
        <v>OK</v>
      </c>
      <c r="K63" s="125"/>
      <c r="L63" s="125">
        <f t="shared" si="10"/>
        <v>0</v>
      </c>
      <c r="M63" s="124" t="str">
        <f t="shared" si="11"/>
        <v>OK</v>
      </c>
      <c r="N63" s="125"/>
      <c r="O63" s="125">
        <f t="shared" si="28"/>
        <v>0</v>
      </c>
      <c r="P63" s="124" t="str">
        <f t="shared" si="29"/>
        <v>OK</v>
      </c>
      <c r="Q63" s="125"/>
      <c r="R63" s="125">
        <f t="shared" si="30"/>
        <v>0</v>
      </c>
      <c r="S63" s="124" t="str">
        <f t="shared" si="31"/>
        <v>OK</v>
      </c>
    </row>
    <row r="64" spans="1:19" ht="15" x14ac:dyDescent="0.25">
      <c r="A64" s="267" t="s">
        <v>207</v>
      </c>
      <c r="B64" s="267">
        <v>91</v>
      </c>
      <c r="C64" s="244" t="s">
        <v>208</v>
      </c>
      <c r="D64" s="243" t="s">
        <v>11</v>
      </c>
      <c r="E64" s="245">
        <v>0.57999999999999996</v>
      </c>
      <c r="F64" s="246">
        <v>743157</v>
      </c>
      <c r="G64" s="236">
        <f t="shared" si="8"/>
        <v>431031</v>
      </c>
      <c r="H64" s="125">
        <v>743157</v>
      </c>
      <c r="I64" s="125">
        <f t="shared" si="0"/>
        <v>431031</v>
      </c>
      <c r="J64" s="124" t="str">
        <f t="shared" si="9"/>
        <v>OK</v>
      </c>
      <c r="K64" s="125"/>
      <c r="L64" s="125">
        <f t="shared" si="10"/>
        <v>0</v>
      </c>
      <c r="M64" s="124" t="str">
        <f t="shared" si="11"/>
        <v>OK</v>
      </c>
      <c r="N64" s="125"/>
      <c r="O64" s="125">
        <f t="shared" si="28"/>
        <v>0</v>
      </c>
      <c r="P64" s="124" t="str">
        <f t="shared" si="29"/>
        <v>OK</v>
      </c>
      <c r="Q64" s="125"/>
      <c r="R64" s="125">
        <f t="shared" si="30"/>
        <v>0</v>
      </c>
      <c r="S64" s="124" t="str">
        <f t="shared" si="31"/>
        <v>OK</v>
      </c>
    </row>
    <row r="65" spans="1:19" ht="15" x14ac:dyDescent="0.25">
      <c r="A65" s="267" t="s">
        <v>209</v>
      </c>
      <c r="B65" s="267">
        <v>92</v>
      </c>
      <c r="C65" s="244" t="s">
        <v>210</v>
      </c>
      <c r="D65" s="243" t="s">
        <v>11</v>
      </c>
      <c r="E65" s="245">
        <v>44.8</v>
      </c>
      <c r="F65" s="246">
        <v>743157</v>
      </c>
      <c r="G65" s="236">
        <f t="shared" si="8"/>
        <v>33293434</v>
      </c>
      <c r="H65" s="125">
        <v>743157</v>
      </c>
      <c r="I65" s="125">
        <f t="shared" si="0"/>
        <v>33293434</v>
      </c>
      <c r="J65" s="124" t="str">
        <f t="shared" si="9"/>
        <v>OK</v>
      </c>
      <c r="K65" s="125"/>
      <c r="L65" s="125">
        <f t="shared" si="10"/>
        <v>0</v>
      </c>
      <c r="M65" s="124" t="str">
        <f t="shared" si="11"/>
        <v>OK</v>
      </c>
      <c r="N65" s="125"/>
      <c r="O65" s="125">
        <f t="shared" si="28"/>
        <v>0</v>
      </c>
      <c r="P65" s="124" t="str">
        <f t="shared" si="29"/>
        <v>OK</v>
      </c>
      <c r="Q65" s="125"/>
      <c r="R65" s="125">
        <f t="shared" si="30"/>
        <v>0</v>
      </c>
      <c r="S65" s="124" t="str">
        <f t="shared" si="31"/>
        <v>OK</v>
      </c>
    </row>
    <row r="66" spans="1:19" ht="25.5" x14ac:dyDescent="0.25">
      <c r="A66" s="267" t="s">
        <v>211</v>
      </c>
      <c r="B66" s="267">
        <v>83</v>
      </c>
      <c r="C66" s="244" t="s">
        <v>212</v>
      </c>
      <c r="D66" s="243" t="s">
        <v>76</v>
      </c>
      <c r="E66" s="245">
        <v>4144</v>
      </c>
      <c r="F66" s="246">
        <v>4946</v>
      </c>
      <c r="G66" s="236">
        <f t="shared" si="8"/>
        <v>20496224</v>
      </c>
      <c r="H66" s="125">
        <v>4946</v>
      </c>
      <c r="I66" s="125">
        <f t="shared" si="0"/>
        <v>20496224</v>
      </c>
      <c r="J66" s="124" t="str">
        <f t="shared" si="9"/>
        <v>OK</v>
      </c>
      <c r="K66" s="125"/>
      <c r="L66" s="125">
        <f t="shared" si="10"/>
        <v>0</v>
      </c>
      <c r="M66" s="124" t="str">
        <f t="shared" si="11"/>
        <v>OK</v>
      </c>
      <c r="N66" s="125"/>
      <c r="O66" s="125">
        <f t="shared" si="28"/>
        <v>0</v>
      </c>
      <c r="P66" s="124" t="str">
        <f t="shared" si="29"/>
        <v>OK</v>
      </c>
      <c r="Q66" s="125"/>
      <c r="R66" s="125">
        <f t="shared" si="30"/>
        <v>0</v>
      </c>
      <c r="S66" s="124" t="str">
        <f t="shared" si="31"/>
        <v>OK</v>
      </c>
    </row>
    <row r="67" spans="1:19" ht="15" x14ac:dyDescent="0.25">
      <c r="A67" s="262"/>
      <c r="B67" s="262"/>
      <c r="C67" s="263" t="s">
        <v>130</v>
      </c>
      <c r="D67" s="264"/>
      <c r="E67" s="265"/>
      <c r="F67" s="266"/>
      <c r="G67" s="236"/>
      <c r="H67" s="125"/>
      <c r="I67" s="125"/>
      <c r="J67" s="124"/>
      <c r="K67" s="125"/>
      <c r="L67" s="125"/>
      <c r="M67" s="124"/>
      <c r="N67" s="125"/>
      <c r="O67" s="125"/>
      <c r="P67" s="124"/>
      <c r="Q67" s="125"/>
      <c r="R67" s="125"/>
      <c r="S67" s="124"/>
    </row>
    <row r="68" spans="1:19" ht="15" x14ac:dyDescent="0.25">
      <c r="A68" s="262">
        <v>7</v>
      </c>
      <c r="B68" s="262"/>
      <c r="C68" s="263" t="s">
        <v>213</v>
      </c>
      <c r="D68" s="264"/>
      <c r="E68" s="265"/>
      <c r="F68" s="266"/>
      <c r="G68" s="236"/>
      <c r="H68" s="125"/>
      <c r="I68" s="125"/>
      <c r="J68" s="124"/>
      <c r="K68" s="125"/>
      <c r="L68" s="125"/>
      <c r="M68" s="124"/>
      <c r="N68" s="125"/>
      <c r="O68" s="125"/>
      <c r="P68" s="124"/>
      <c r="Q68" s="125"/>
      <c r="R68" s="125"/>
      <c r="S68" s="124"/>
    </row>
    <row r="69" spans="1:19" ht="38.25" x14ac:dyDescent="0.25">
      <c r="A69" s="267" t="s">
        <v>214</v>
      </c>
      <c r="B69" s="267">
        <v>29</v>
      </c>
      <c r="C69" s="244" t="s">
        <v>215</v>
      </c>
      <c r="D69" s="243" t="s">
        <v>76</v>
      </c>
      <c r="E69" s="245">
        <v>1336</v>
      </c>
      <c r="F69" s="246">
        <v>21780</v>
      </c>
      <c r="G69" s="236">
        <f t="shared" si="8"/>
        <v>29098080</v>
      </c>
      <c r="H69" s="125">
        <v>21780</v>
      </c>
      <c r="I69" s="125">
        <f t="shared" si="0"/>
        <v>29098080</v>
      </c>
      <c r="J69" s="124" t="str">
        <f t="shared" si="9"/>
        <v>OK</v>
      </c>
      <c r="K69" s="125"/>
      <c r="L69" s="125">
        <f t="shared" si="10"/>
        <v>0</v>
      </c>
      <c r="M69" s="124" t="str">
        <f t="shared" si="11"/>
        <v>OK</v>
      </c>
      <c r="N69" s="125"/>
      <c r="O69" s="125">
        <f t="shared" ref="O69" si="32">ROUND($E69*N69,0)</f>
        <v>0</v>
      </c>
      <c r="P69" s="124" t="str">
        <f t="shared" ref="P69" si="33">+IF(N69&lt;=$F69,"OK","NO OK")</f>
        <v>OK</v>
      </c>
      <c r="Q69" s="125"/>
      <c r="R69" s="125">
        <f t="shared" ref="R69" si="34">ROUND($E69*Q69,0)</f>
        <v>0</v>
      </c>
      <c r="S69" s="124" t="str">
        <f t="shared" ref="S69" si="35">+IF(Q69&lt;=$F69,"OK","NO OK")</f>
        <v>OK</v>
      </c>
    </row>
    <row r="70" spans="1:19" ht="15" x14ac:dyDescent="0.25">
      <c r="A70" s="262"/>
      <c r="B70" s="262"/>
      <c r="C70" s="263" t="s">
        <v>130</v>
      </c>
      <c r="D70" s="264"/>
      <c r="E70" s="265"/>
      <c r="F70" s="266"/>
      <c r="G70" s="236"/>
      <c r="H70" s="125"/>
      <c r="I70" s="125"/>
      <c r="J70" s="124"/>
      <c r="K70" s="125"/>
      <c r="L70" s="125"/>
      <c r="M70" s="124"/>
      <c r="N70" s="125"/>
      <c r="O70" s="125"/>
      <c r="P70" s="124"/>
      <c r="Q70" s="125"/>
      <c r="R70" s="125"/>
      <c r="S70" s="124"/>
    </row>
    <row r="71" spans="1:19" ht="15" x14ac:dyDescent="0.25">
      <c r="A71" s="262">
        <v>8</v>
      </c>
      <c r="B71" s="262"/>
      <c r="C71" s="263" t="s">
        <v>216</v>
      </c>
      <c r="D71" s="264"/>
      <c r="E71" s="265"/>
      <c r="F71" s="266"/>
      <c r="G71" s="236"/>
      <c r="H71" s="125"/>
      <c r="I71" s="125"/>
      <c r="J71" s="124"/>
      <c r="K71" s="125"/>
      <c r="L71" s="125"/>
      <c r="M71" s="124"/>
      <c r="N71" s="125"/>
      <c r="O71" s="125"/>
      <c r="P71" s="124"/>
      <c r="Q71" s="125"/>
      <c r="R71" s="125"/>
      <c r="S71" s="124"/>
    </row>
    <row r="72" spans="1:19" ht="15" x14ac:dyDescent="0.25">
      <c r="A72" s="267" t="s">
        <v>217</v>
      </c>
      <c r="B72" s="267">
        <v>30</v>
      </c>
      <c r="C72" s="244" t="s">
        <v>218</v>
      </c>
      <c r="D72" s="243" t="s">
        <v>76</v>
      </c>
      <c r="E72" s="245">
        <v>8688</v>
      </c>
      <c r="F72" s="246">
        <v>21780</v>
      </c>
      <c r="G72" s="236">
        <f t="shared" si="8"/>
        <v>189224640</v>
      </c>
      <c r="H72" s="125">
        <v>21780</v>
      </c>
      <c r="I72" s="125">
        <f t="shared" si="0"/>
        <v>189224640</v>
      </c>
      <c r="J72" s="124" t="str">
        <f t="shared" si="9"/>
        <v>OK</v>
      </c>
      <c r="K72" s="125"/>
      <c r="L72" s="125">
        <f t="shared" si="10"/>
        <v>0</v>
      </c>
      <c r="M72" s="124" t="str">
        <f t="shared" si="11"/>
        <v>OK</v>
      </c>
      <c r="N72" s="125"/>
      <c r="O72" s="125">
        <f t="shared" ref="O72:O76" si="36">ROUND($E72*N72,0)</f>
        <v>0</v>
      </c>
      <c r="P72" s="124" t="str">
        <f t="shared" ref="P72:P76" si="37">+IF(N72&lt;=$F72,"OK","NO OK")</f>
        <v>OK</v>
      </c>
      <c r="Q72" s="125"/>
      <c r="R72" s="125">
        <f t="shared" ref="R72:R76" si="38">ROUND($E72*Q72,0)</f>
        <v>0</v>
      </c>
      <c r="S72" s="124" t="str">
        <f t="shared" ref="S72:S76" si="39">+IF(Q72&lt;=$F72,"OK","NO OK")</f>
        <v>OK</v>
      </c>
    </row>
    <row r="73" spans="1:19" ht="25.5" x14ac:dyDescent="0.25">
      <c r="A73" s="267" t="s">
        <v>219</v>
      </c>
      <c r="B73" s="267">
        <v>31</v>
      </c>
      <c r="C73" s="244" t="s">
        <v>220</v>
      </c>
      <c r="D73" s="243" t="s">
        <v>76</v>
      </c>
      <c r="E73" s="245">
        <v>3040</v>
      </c>
      <c r="F73" s="246">
        <v>21780</v>
      </c>
      <c r="G73" s="236">
        <f t="shared" si="8"/>
        <v>66211200</v>
      </c>
      <c r="H73" s="125">
        <v>21780</v>
      </c>
      <c r="I73" s="125">
        <f t="shared" ref="I73:I136" si="40">ROUND($E73*H73,0)</f>
        <v>66211200</v>
      </c>
      <c r="J73" s="124" t="str">
        <f t="shared" si="9"/>
        <v>OK</v>
      </c>
      <c r="K73" s="125"/>
      <c r="L73" s="125">
        <f t="shared" si="10"/>
        <v>0</v>
      </c>
      <c r="M73" s="124" t="str">
        <f t="shared" si="11"/>
        <v>OK</v>
      </c>
      <c r="N73" s="125"/>
      <c r="O73" s="125">
        <f t="shared" si="36"/>
        <v>0</v>
      </c>
      <c r="P73" s="124" t="str">
        <f t="shared" si="37"/>
        <v>OK</v>
      </c>
      <c r="Q73" s="125"/>
      <c r="R73" s="125">
        <f t="shared" si="38"/>
        <v>0</v>
      </c>
      <c r="S73" s="124" t="str">
        <f t="shared" si="39"/>
        <v>OK</v>
      </c>
    </row>
    <row r="74" spans="1:19" ht="15" x14ac:dyDescent="0.25">
      <c r="A74" s="267" t="s">
        <v>221</v>
      </c>
      <c r="B74" s="267">
        <v>93</v>
      </c>
      <c r="C74" s="244" t="s">
        <v>222</v>
      </c>
      <c r="D74" s="243" t="s">
        <v>76</v>
      </c>
      <c r="E74" s="245">
        <v>863.66</v>
      </c>
      <c r="F74" s="246">
        <v>21780</v>
      </c>
      <c r="G74" s="236">
        <f t="shared" ref="G74:G137" si="41">ROUND($E74*F74,0)</f>
        <v>18810515</v>
      </c>
      <c r="H74" s="125">
        <v>21780</v>
      </c>
      <c r="I74" s="125">
        <f t="shared" si="40"/>
        <v>18810515</v>
      </c>
      <c r="J74" s="124" t="str">
        <f t="shared" si="9"/>
        <v>OK</v>
      </c>
      <c r="K74" s="125"/>
      <c r="L74" s="125">
        <f t="shared" si="10"/>
        <v>0</v>
      </c>
      <c r="M74" s="124" t="str">
        <f t="shared" si="11"/>
        <v>OK</v>
      </c>
      <c r="N74" s="125"/>
      <c r="O74" s="125">
        <f t="shared" si="36"/>
        <v>0</v>
      </c>
      <c r="P74" s="124" t="str">
        <f t="shared" si="37"/>
        <v>OK</v>
      </c>
      <c r="Q74" s="125"/>
      <c r="R74" s="125">
        <f t="shared" si="38"/>
        <v>0</v>
      </c>
      <c r="S74" s="124" t="str">
        <f t="shared" si="39"/>
        <v>OK</v>
      </c>
    </row>
    <row r="75" spans="1:19" ht="25.5" x14ac:dyDescent="0.25">
      <c r="A75" s="267" t="s">
        <v>223</v>
      </c>
      <c r="B75" s="267">
        <v>32</v>
      </c>
      <c r="C75" s="244" t="s">
        <v>224</v>
      </c>
      <c r="D75" s="243" t="s">
        <v>2</v>
      </c>
      <c r="E75" s="245">
        <v>32</v>
      </c>
      <c r="F75" s="246">
        <v>139956</v>
      </c>
      <c r="G75" s="236">
        <f t="shared" si="41"/>
        <v>4478592</v>
      </c>
      <c r="H75" s="125">
        <v>139956</v>
      </c>
      <c r="I75" s="125">
        <f t="shared" si="40"/>
        <v>4478592</v>
      </c>
      <c r="J75" s="124" t="str">
        <f t="shared" ref="J75:J138" si="42">+IF(H75&lt;=$F75,"OK","NO OK")</f>
        <v>OK</v>
      </c>
      <c r="K75" s="125"/>
      <c r="L75" s="125">
        <f t="shared" ref="L75:L138" si="43">ROUND($E75*K75,0)</f>
        <v>0</v>
      </c>
      <c r="M75" s="124" t="str">
        <f t="shared" ref="M75:M138" si="44">+IF(K75&lt;=$F75,"OK","NO OK")</f>
        <v>OK</v>
      </c>
      <c r="N75" s="125"/>
      <c r="O75" s="125">
        <f t="shared" si="36"/>
        <v>0</v>
      </c>
      <c r="P75" s="124" t="str">
        <f t="shared" si="37"/>
        <v>OK</v>
      </c>
      <c r="Q75" s="125"/>
      <c r="R75" s="125">
        <f t="shared" si="38"/>
        <v>0</v>
      </c>
      <c r="S75" s="124" t="str">
        <f t="shared" si="39"/>
        <v>OK</v>
      </c>
    </row>
    <row r="76" spans="1:19" ht="38.25" x14ac:dyDescent="0.25">
      <c r="A76" s="267" t="s">
        <v>225</v>
      </c>
      <c r="B76" s="267">
        <v>33</v>
      </c>
      <c r="C76" s="244" t="s">
        <v>226</v>
      </c>
      <c r="D76" s="243" t="s">
        <v>2</v>
      </c>
      <c r="E76" s="245">
        <v>16</v>
      </c>
      <c r="F76" s="246">
        <v>558761</v>
      </c>
      <c r="G76" s="236">
        <f t="shared" si="41"/>
        <v>8940176</v>
      </c>
      <c r="H76" s="125">
        <v>558761</v>
      </c>
      <c r="I76" s="125">
        <f t="shared" si="40"/>
        <v>8940176</v>
      </c>
      <c r="J76" s="124" t="str">
        <f t="shared" si="42"/>
        <v>OK</v>
      </c>
      <c r="K76" s="125"/>
      <c r="L76" s="125">
        <f t="shared" si="43"/>
        <v>0</v>
      </c>
      <c r="M76" s="124" t="str">
        <f t="shared" si="44"/>
        <v>OK</v>
      </c>
      <c r="N76" s="125"/>
      <c r="O76" s="125">
        <f t="shared" si="36"/>
        <v>0</v>
      </c>
      <c r="P76" s="124" t="str">
        <f t="shared" si="37"/>
        <v>OK</v>
      </c>
      <c r="Q76" s="125"/>
      <c r="R76" s="125">
        <f t="shared" si="38"/>
        <v>0</v>
      </c>
      <c r="S76" s="124" t="str">
        <f t="shared" si="39"/>
        <v>OK</v>
      </c>
    </row>
    <row r="77" spans="1:19" ht="15" x14ac:dyDescent="0.25">
      <c r="A77" s="262"/>
      <c r="B77" s="262"/>
      <c r="C77" s="263" t="s">
        <v>130</v>
      </c>
      <c r="D77" s="264"/>
      <c r="E77" s="265"/>
      <c r="F77" s="266"/>
      <c r="G77" s="236"/>
      <c r="H77" s="125"/>
      <c r="I77" s="125"/>
      <c r="J77" s="124"/>
      <c r="K77" s="125"/>
      <c r="L77" s="125"/>
      <c r="M77" s="124"/>
      <c r="N77" s="125"/>
      <c r="O77" s="125"/>
      <c r="P77" s="124"/>
      <c r="Q77" s="125"/>
      <c r="R77" s="125"/>
      <c r="S77" s="124"/>
    </row>
    <row r="78" spans="1:19" ht="15" x14ac:dyDescent="0.25">
      <c r="A78" s="262">
        <v>9</v>
      </c>
      <c r="B78" s="262"/>
      <c r="C78" s="263" t="s">
        <v>227</v>
      </c>
      <c r="D78" s="264"/>
      <c r="E78" s="265"/>
      <c r="F78" s="266"/>
      <c r="G78" s="236"/>
      <c r="H78" s="125"/>
      <c r="I78" s="125"/>
      <c r="J78" s="124"/>
      <c r="K78" s="125"/>
      <c r="L78" s="125"/>
      <c r="M78" s="124"/>
      <c r="N78" s="125"/>
      <c r="O78" s="125"/>
      <c r="P78" s="124"/>
      <c r="Q78" s="125"/>
      <c r="R78" s="125"/>
      <c r="S78" s="124"/>
    </row>
    <row r="79" spans="1:19" ht="25.5" x14ac:dyDescent="0.25">
      <c r="A79" s="267" t="s">
        <v>228</v>
      </c>
      <c r="B79" s="267">
        <v>34</v>
      </c>
      <c r="C79" s="244" t="s">
        <v>229</v>
      </c>
      <c r="D79" s="243" t="s">
        <v>2</v>
      </c>
      <c r="E79" s="245">
        <v>32</v>
      </c>
      <c r="F79" s="246">
        <v>252609</v>
      </c>
      <c r="G79" s="236">
        <f t="shared" si="41"/>
        <v>8083488</v>
      </c>
      <c r="H79" s="125">
        <v>252609</v>
      </c>
      <c r="I79" s="125">
        <f t="shared" si="40"/>
        <v>8083488</v>
      </c>
      <c r="J79" s="124" t="str">
        <f t="shared" si="42"/>
        <v>OK</v>
      </c>
      <c r="K79" s="125"/>
      <c r="L79" s="125">
        <f t="shared" si="43"/>
        <v>0</v>
      </c>
      <c r="M79" s="124" t="str">
        <f t="shared" si="44"/>
        <v>OK</v>
      </c>
      <c r="N79" s="125"/>
      <c r="O79" s="125">
        <f t="shared" ref="O79:O86" si="45">ROUND($E79*N79,0)</f>
        <v>0</v>
      </c>
      <c r="P79" s="124" t="str">
        <f t="shared" ref="P79:P86" si="46">+IF(N79&lt;=$F79,"OK","NO OK")</f>
        <v>OK</v>
      </c>
      <c r="Q79" s="125"/>
      <c r="R79" s="125">
        <f t="shared" ref="R79:R86" si="47">ROUND($E79*Q79,0)</f>
        <v>0</v>
      </c>
      <c r="S79" s="124" t="str">
        <f t="shared" ref="S79:S86" si="48">+IF(Q79&lt;=$F79,"OK","NO OK")</f>
        <v>OK</v>
      </c>
    </row>
    <row r="80" spans="1:19" ht="25.5" x14ac:dyDescent="0.25">
      <c r="A80" s="267" t="s">
        <v>230</v>
      </c>
      <c r="B80" s="267">
        <v>35</v>
      </c>
      <c r="C80" s="244" t="s">
        <v>231</v>
      </c>
      <c r="D80" s="243" t="s">
        <v>2</v>
      </c>
      <c r="E80" s="245">
        <v>16</v>
      </c>
      <c r="F80" s="246">
        <v>187079</v>
      </c>
      <c r="G80" s="236">
        <f t="shared" si="41"/>
        <v>2993264</v>
      </c>
      <c r="H80" s="125">
        <v>187079</v>
      </c>
      <c r="I80" s="125">
        <f t="shared" si="40"/>
        <v>2993264</v>
      </c>
      <c r="J80" s="124" t="str">
        <f t="shared" si="42"/>
        <v>OK</v>
      </c>
      <c r="K80" s="125"/>
      <c r="L80" s="125">
        <f t="shared" si="43"/>
        <v>0</v>
      </c>
      <c r="M80" s="124" t="str">
        <f t="shared" si="44"/>
        <v>OK</v>
      </c>
      <c r="N80" s="125"/>
      <c r="O80" s="125">
        <f t="shared" si="45"/>
        <v>0</v>
      </c>
      <c r="P80" s="124" t="str">
        <f t="shared" si="46"/>
        <v>OK</v>
      </c>
      <c r="Q80" s="125"/>
      <c r="R80" s="125">
        <f t="shared" si="47"/>
        <v>0</v>
      </c>
      <c r="S80" s="124" t="str">
        <f t="shared" si="48"/>
        <v>OK</v>
      </c>
    </row>
    <row r="81" spans="1:19" ht="15" x14ac:dyDescent="0.25">
      <c r="A81" s="267" t="s">
        <v>232</v>
      </c>
      <c r="B81" s="267"/>
      <c r="C81" s="244" t="s">
        <v>233</v>
      </c>
      <c r="D81" s="267" t="s">
        <v>2</v>
      </c>
      <c r="E81" s="245">
        <v>384</v>
      </c>
      <c r="F81" s="246">
        <v>12779</v>
      </c>
      <c r="G81" s="236">
        <f t="shared" si="41"/>
        <v>4907136</v>
      </c>
      <c r="H81" s="125">
        <v>12779</v>
      </c>
      <c r="I81" s="125">
        <f t="shared" si="40"/>
        <v>4907136</v>
      </c>
      <c r="J81" s="124" t="str">
        <f t="shared" si="42"/>
        <v>OK</v>
      </c>
      <c r="K81" s="125"/>
      <c r="L81" s="125">
        <f t="shared" si="43"/>
        <v>0</v>
      </c>
      <c r="M81" s="124" t="str">
        <f t="shared" si="44"/>
        <v>OK</v>
      </c>
      <c r="N81" s="125"/>
      <c r="O81" s="125">
        <f t="shared" si="45"/>
        <v>0</v>
      </c>
      <c r="P81" s="124" t="str">
        <f t="shared" si="46"/>
        <v>OK</v>
      </c>
      <c r="Q81" s="125"/>
      <c r="R81" s="125">
        <f t="shared" si="47"/>
        <v>0</v>
      </c>
      <c r="S81" s="124" t="str">
        <f t="shared" si="48"/>
        <v>OK</v>
      </c>
    </row>
    <row r="82" spans="1:19" ht="25.5" x14ac:dyDescent="0.25">
      <c r="A82" s="267" t="s">
        <v>234</v>
      </c>
      <c r="B82" s="267"/>
      <c r="C82" s="244" t="s">
        <v>235</v>
      </c>
      <c r="D82" s="267" t="s">
        <v>2</v>
      </c>
      <c r="E82" s="245">
        <v>96</v>
      </c>
      <c r="F82" s="246">
        <v>31948</v>
      </c>
      <c r="G82" s="236">
        <f t="shared" si="41"/>
        <v>3067008</v>
      </c>
      <c r="H82" s="125">
        <v>31948</v>
      </c>
      <c r="I82" s="125">
        <f t="shared" si="40"/>
        <v>3067008</v>
      </c>
      <c r="J82" s="124" t="str">
        <f t="shared" si="42"/>
        <v>OK</v>
      </c>
      <c r="K82" s="125"/>
      <c r="L82" s="125">
        <f t="shared" si="43"/>
        <v>0</v>
      </c>
      <c r="M82" s="124" t="str">
        <f t="shared" si="44"/>
        <v>OK</v>
      </c>
      <c r="N82" s="125"/>
      <c r="O82" s="125">
        <f t="shared" si="45"/>
        <v>0</v>
      </c>
      <c r="P82" s="124" t="str">
        <f t="shared" si="46"/>
        <v>OK</v>
      </c>
      <c r="Q82" s="125"/>
      <c r="R82" s="125">
        <f t="shared" si="47"/>
        <v>0</v>
      </c>
      <c r="S82" s="124" t="str">
        <f t="shared" si="48"/>
        <v>OK</v>
      </c>
    </row>
    <row r="83" spans="1:19" ht="15" x14ac:dyDescent="0.25">
      <c r="A83" s="267" t="s">
        <v>236</v>
      </c>
      <c r="B83" s="267"/>
      <c r="C83" s="244" t="s">
        <v>237</v>
      </c>
      <c r="D83" s="267" t="s">
        <v>2</v>
      </c>
      <c r="E83" s="245">
        <v>96</v>
      </c>
      <c r="F83" s="246">
        <v>12779</v>
      </c>
      <c r="G83" s="236">
        <f t="shared" si="41"/>
        <v>1226784</v>
      </c>
      <c r="H83" s="125">
        <v>12779</v>
      </c>
      <c r="I83" s="125">
        <f t="shared" si="40"/>
        <v>1226784</v>
      </c>
      <c r="J83" s="124" t="str">
        <f t="shared" si="42"/>
        <v>OK</v>
      </c>
      <c r="K83" s="125"/>
      <c r="L83" s="125">
        <f t="shared" si="43"/>
        <v>0</v>
      </c>
      <c r="M83" s="124" t="str">
        <f t="shared" si="44"/>
        <v>OK</v>
      </c>
      <c r="N83" s="125"/>
      <c r="O83" s="125">
        <f t="shared" si="45"/>
        <v>0</v>
      </c>
      <c r="P83" s="124" t="str">
        <f t="shared" si="46"/>
        <v>OK</v>
      </c>
      <c r="Q83" s="125"/>
      <c r="R83" s="125">
        <f t="shared" si="47"/>
        <v>0</v>
      </c>
      <c r="S83" s="124" t="str">
        <f t="shared" si="48"/>
        <v>OK</v>
      </c>
    </row>
    <row r="84" spans="1:19" ht="15" x14ac:dyDescent="0.25">
      <c r="A84" s="267" t="s">
        <v>238</v>
      </c>
      <c r="B84" s="267"/>
      <c r="C84" s="244" t="s">
        <v>239</v>
      </c>
      <c r="D84" s="267" t="s">
        <v>2</v>
      </c>
      <c r="E84" s="245">
        <v>96</v>
      </c>
      <c r="F84" s="246">
        <v>6390</v>
      </c>
      <c r="G84" s="236">
        <f t="shared" si="41"/>
        <v>613440</v>
      </c>
      <c r="H84" s="125">
        <v>6390</v>
      </c>
      <c r="I84" s="125">
        <f t="shared" si="40"/>
        <v>613440</v>
      </c>
      <c r="J84" s="124" t="str">
        <f t="shared" si="42"/>
        <v>OK</v>
      </c>
      <c r="K84" s="125"/>
      <c r="L84" s="125">
        <f t="shared" si="43"/>
        <v>0</v>
      </c>
      <c r="M84" s="124" t="str">
        <f t="shared" si="44"/>
        <v>OK</v>
      </c>
      <c r="N84" s="125"/>
      <c r="O84" s="125">
        <f t="shared" si="45"/>
        <v>0</v>
      </c>
      <c r="P84" s="124" t="str">
        <f t="shared" si="46"/>
        <v>OK</v>
      </c>
      <c r="Q84" s="125"/>
      <c r="R84" s="125">
        <f t="shared" si="47"/>
        <v>0</v>
      </c>
      <c r="S84" s="124" t="str">
        <f t="shared" si="48"/>
        <v>OK</v>
      </c>
    </row>
    <row r="85" spans="1:19" ht="38.25" x14ac:dyDescent="0.25">
      <c r="A85" s="267" t="s">
        <v>240</v>
      </c>
      <c r="B85" s="267">
        <v>36</v>
      </c>
      <c r="C85" s="244" t="s">
        <v>241</v>
      </c>
      <c r="D85" s="243" t="s">
        <v>75</v>
      </c>
      <c r="E85" s="245">
        <v>848</v>
      </c>
      <c r="F85" s="246">
        <v>81530</v>
      </c>
      <c r="G85" s="236">
        <f t="shared" si="41"/>
        <v>69137440</v>
      </c>
      <c r="H85" s="125">
        <v>81530</v>
      </c>
      <c r="I85" s="125">
        <f t="shared" si="40"/>
        <v>69137440</v>
      </c>
      <c r="J85" s="124" t="str">
        <f t="shared" si="42"/>
        <v>OK</v>
      </c>
      <c r="K85" s="125"/>
      <c r="L85" s="125">
        <f t="shared" si="43"/>
        <v>0</v>
      </c>
      <c r="M85" s="124" t="str">
        <f t="shared" si="44"/>
        <v>OK</v>
      </c>
      <c r="N85" s="125"/>
      <c r="O85" s="125">
        <f t="shared" si="45"/>
        <v>0</v>
      </c>
      <c r="P85" s="124" t="str">
        <f t="shared" si="46"/>
        <v>OK</v>
      </c>
      <c r="Q85" s="125"/>
      <c r="R85" s="125">
        <f t="shared" si="47"/>
        <v>0</v>
      </c>
      <c r="S85" s="124" t="str">
        <f t="shared" si="48"/>
        <v>OK</v>
      </c>
    </row>
    <row r="86" spans="1:19" ht="15" x14ac:dyDescent="0.25">
      <c r="A86" s="267" t="s">
        <v>242</v>
      </c>
      <c r="B86" s="267">
        <v>37</v>
      </c>
      <c r="C86" s="244" t="s">
        <v>243</v>
      </c>
      <c r="D86" s="243" t="s">
        <v>2</v>
      </c>
      <c r="E86" s="245">
        <v>32</v>
      </c>
      <c r="F86" s="246">
        <v>71370</v>
      </c>
      <c r="G86" s="236">
        <f t="shared" si="41"/>
        <v>2283840</v>
      </c>
      <c r="H86" s="125">
        <v>71370</v>
      </c>
      <c r="I86" s="125">
        <f t="shared" si="40"/>
        <v>2283840</v>
      </c>
      <c r="J86" s="124" t="str">
        <f t="shared" si="42"/>
        <v>OK</v>
      </c>
      <c r="K86" s="125"/>
      <c r="L86" s="125">
        <f t="shared" si="43"/>
        <v>0</v>
      </c>
      <c r="M86" s="124" t="str">
        <f t="shared" si="44"/>
        <v>OK</v>
      </c>
      <c r="N86" s="125"/>
      <c r="O86" s="125">
        <f t="shared" si="45"/>
        <v>0</v>
      </c>
      <c r="P86" s="124" t="str">
        <f t="shared" si="46"/>
        <v>OK</v>
      </c>
      <c r="Q86" s="125"/>
      <c r="R86" s="125">
        <f t="shared" si="47"/>
        <v>0</v>
      </c>
      <c r="S86" s="124" t="str">
        <f t="shared" si="48"/>
        <v>OK</v>
      </c>
    </row>
    <row r="87" spans="1:19" ht="15" x14ac:dyDescent="0.25">
      <c r="A87" s="262"/>
      <c r="B87" s="262"/>
      <c r="C87" s="263" t="s">
        <v>130</v>
      </c>
      <c r="D87" s="264"/>
      <c r="E87" s="265"/>
      <c r="F87" s="266"/>
      <c r="G87" s="236"/>
      <c r="H87" s="125"/>
      <c r="I87" s="125"/>
      <c r="J87" s="124"/>
      <c r="K87" s="125"/>
      <c r="L87" s="125"/>
      <c r="M87" s="124"/>
      <c r="N87" s="125"/>
      <c r="O87" s="125"/>
      <c r="P87" s="124"/>
      <c r="Q87" s="125"/>
      <c r="R87" s="125"/>
      <c r="S87" s="124"/>
    </row>
    <row r="88" spans="1:19" ht="15" x14ac:dyDescent="0.25">
      <c r="A88" s="262">
        <v>10</v>
      </c>
      <c r="B88" s="262"/>
      <c r="C88" s="263" t="s">
        <v>244</v>
      </c>
      <c r="D88" s="264"/>
      <c r="E88" s="265"/>
      <c r="F88" s="266"/>
      <c r="G88" s="236"/>
      <c r="H88" s="125"/>
      <c r="I88" s="125"/>
      <c r="J88" s="124"/>
      <c r="K88" s="125"/>
      <c r="L88" s="125"/>
      <c r="M88" s="124"/>
      <c r="N88" s="125"/>
      <c r="O88" s="125"/>
      <c r="P88" s="124"/>
      <c r="Q88" s="125"/>
      <c r="R88" s="125"/>
      <c r="S88" s="124"/>
    </row>
    <row r="89" spans="1:19" ht="15" x14ac:dyDescent="0.25">
      <c r="A89" s="267" t="s">
        <v>245</v>
      </c>
      <c r="B89" s="267">
        <v>94</v>
      </c>
      <c r="C89" s="244" t="s">
        <v>246</v>
      </c>
      <c r="D89" s="243" t="s">
        <v>76</v>
      </c>
      <c r="E89" s="245">
        <v>1113</v>
      </c>
      <c r="F89" s="246">
        <v>21780</v>
      </c>
      <c r="G89" s="236">
        <f t="shared" si="41"/>
        <v>24241140</v>
      </c>
      <c r="H89" s="125">
        <v>21780</v>
      </c>
      <c r="I89" s="125">
        <f t="shared" si="40"/>
        <v>24241140</v>
      </c>
      <c r="J89" s="124" t="str">
        <f t="shared" si="42"/>
        <v>OK</v>
      </c>
      <c r="K89" s="125"/>
      <c r="L89" s="125">
        <f t="shared" si="43"/>
        <v>0</v>
      </c>
      <c r="M89" s="124" t="str">
        <f t="shared" si="44"/>
        <v>OK</v>
      </c>
      <c r="N89" s="125"/>
      <c r="O89" s="125">
        <f t="shared" ref="O89:O100" si="49">ROUND($E89*N89,0)</f>
        <v>0</v>
      </c>
      <c r="P89" s="124" t="str">
        <f t="shared" ref="P89:P100" si="50">+IF(N89&lt;=$F89,"OK","NO OK")</f>
        <v>OK</v>
      </c>
      <c r="Q89" s="125"/>
      <c r="R89" s="125">
        <f t="shared" ref="R89:R100" si="51">ROUND($E89*Q89,0)</f>
        <v>0</v>
      </c>
      <c r="S89" s="124" t="str">
        <f t="shared" ref="S89:S100" si="52">+IF(Q89&lt;=$F89,"OK","NO OK")</f>
        <v>OK</v>
      </c>
    </row>
    <row r="90" spans="1:19" ht="15" x14ac:dyDescent="0.25">
      <c r="A90" s="267" t="s">
        <v>247</v>
      </c>
      <c r="B90" s="267">
        <v>95</v>
      </c>
      <c r="C90" s="244" t="s">
        <v>248</v>
      </c>
      <c r="D90" s="243" t="s">
        <v>76</v>
      </c>
      <c r="E90" s="245">
        <v>67</v>
      </c>
      <c r="F90" s="246">
        <v>21780</v>
      </c>
      <c r="G90" s="236">
        <f t="shared" si="41"/>
        <v>1459260</v>
      </c>
      <c r="H90" s="125">
        <v>21780</v>
      </c>
      <c r="I90" s="125">
        <f t="shared" si="40"/>
        <v>1459260</v>
      </c>
      <c r="J90" s="124" t="str">
        <f t="shared" si="42"/>
        <v>OK</v>
      </c>
      <c r="K90" s="125"/>
      <c r="L90" s="125">
        <f t="shared" si="43"/>
        <v>0</v>
      </c>
      <c r="M90" s="124" t="str">
        <f t="shared" si="44"/>
        <v>OK</v>
      </c>
      <c r="N90" s="125"/>
      <c r="O90" s="125">
        <f t="shared" si="49"/>
        <v>0</v>
      </c>
      <c r="P90" s="124" t="str">
        <f t="shared" si="50"/>
        <v>OK</v>
      </c>
      <c r="Q90" s="125"/>
      <c r="R90" s="125">
        <f t="shared" si="51"/>
        <v>0</v>
      </c>
      <c r="S90" s="124" t="str">
        <f t="shared" si="52"/>
        <v>OK</v>
      </c>
    </row>
    <row r="91" spans="1:19" ht="15" x14ac:dyDescent="0.25">
      <c r="A91" s="267" t="s">
        <v>249</v>
      </c>
      <c r="B91" s="267">
        <v>96</v>
      </c>
      <c r="C91" s="244" t="s">
        <v>250</v>
      </c>
      <c r="D91" s="243" t="s">
        <v>76</v>
      </c>
      <c r="E91" s="245">
        <v>1712</v>
      </c>
      <c r="F91" s="246">
        <v>21780</v>
      </c>
      <c r="G91" s="236">
        <f t="shared" si="41"/>
        <v>37287360</v>
      </c>
      <c r="H91" s="125">
        <v>21780</v>
      </c>
      <c r="I91" s="125">
        <f t="shared" si="40"/>
        <v>37287360</v>
      </c>
      <c r="J91" s="124" t="str">
        <f t="shared" si="42"/>
        <v>OK</v>
      </c>
      <c r="K91" s="125"/>
      <c r="L91" s="125">
        <f t="shared" si="43"/>
        <v>0</v>
      </c>
      <c r="M91" s="124" t="str">
        <f t="shared" si="44"/>
        <v>OK</v>
      </c>
      <c r="N91" s="125"/>
      <c r="O91" s="125">
        <f t="shared" si="49"/>
        <v>0</v>
      </c>
      <c r="P91" s="124" t="str">
        <f t="shared" si="50"/>
        <v>OK</v>
      </c>
      <c r="Q91" s="125"/>
      <c r="R91" s="125">
        <f t="shared" si="51"/>
        <v>0</v>
      </c>
      <c r="S91" s="124" t="str">
        <f t="shared" si="52"/>
        <v>OK</v>
      </c>
    </row>
    <row r="92" spans="1:19" ht="15" x14ac:dyDescent="0.25">
      <c r="A92" s="267" t="s">
        <v>251</v>
      </c>
      <c r="B92" s="267">
        <v>97</v>
      </c>
      <c r="C92" s="244" t="s">
        <v>252</v>
      </c>
      <c r="D92" s="243" t="s">
        <v>76</v>
      </c>
      <c r="E92" s="245">
        <v>205.05</v>
      </c>
      <c r="F92" s="246">
        <v>21780</v>
      </c>
      <c r="G92" s="236">
        <f t="shared" si="41"/>
        <v>4465989</v>
      </c>
      <c r="H92" s="125">
        <v>21780</v>
      </c>
      <c r="I92" s="125">
        <f t="shared" si="40"/>
        <v>4465989</v>
      </c>
      <c r="J92" s="124" t="str">
        <f t="shared" si="42"/>
        <v>OK</v>
      </c>
      <c r="K92" s="125"/>
      <c r="L92" s="125">
        <f t="shared" si="43"/>
        <v>0</v>
      </c>
      <c r="M92" s="124" t="str">
        <f t="shared" si="44"/>
        <v>OK</v>
      </c>
      <c r="N92" s="125"/>
      <c r="O92" s="125">
        <f t="shared" si="49"/>
        <v>0</v>
      </c>
      <c r="P92" s="124" t="str">
        <f t="shared" si="50"/>
        <v>OK</v>
      </c>
      <c r="Q92" s="125"/>
      <c r="R92" s="125">
        <f t="shared" si="51"/>
        <v>0</v>
      </c>
      <c r="S92" s="124" t="str">
        <f t="shared" si="52"/>
        <v>OK</v>
      </c>
    </row>
    <row r="93" spans="1:19" ht="25.5" x14ac:dyDescent="0.25">
      <c r="A93" s="267" t="s">
        <v>253</v>
      </c>
      <c r="B93" s="267">
        <v>98</v>
      </c>
      <c r="C93" s="244" t="s">
        <v>254</v>
      </c>
      <c r="D93" s="243" t="s">
        <v>76</v>
      </c>
      <c r="E93" s="245">
        <v>1155</v>
      </c>
      <c r="F93" s="246">
        <v>21780</v>
      </c>
      <c r="G93" s="236">
        <f t="shared" si="41"/>
        <v>25155900</v>
      </c>
      <c r="H93" s="125">
        <v>21780</v>
      </c>
      <c r="I93" s="125">
        <f t="shared" si="40"/>
        <v>25155900</v>
      </c>
      <c r="J93" s="124" t="str">
        <f t="shared" si="42"/>
        <v>OK</v>
      </c>
      <c r="K93" s="125"/>
      <c r="L93" s="125">
        <f t="shared" si="43"/>
        <v>0</v>
      </c>
      <c r="M93" s="124" t="str">
        <f t="shared" si="44"/>
        <v>OK</v>
      </c>
      <c r="N93" s="125"/>
      <c r="O93" s="125">
        <f t="shared" si="49"/>
        <v>0</v>
      </c>
      <c r="P93" s="124" t="str">
        <f t="shared" si="50"/>
        <v>OK</v>
      </c>
      <c r="Q93" s="125"/>
      <c r="R93" s="125">
        <f t="shared" si="51"/>
        <v>0</v>
      </c>
      <c r="S93" s="124" t="str">
        <f t="shared" si="52"/>
        <v>OK</v>
      </c>
    </row>
    <row r="94" spans="1:19" ht="25.5" x14ac:dyDescent="0.25">
      <c r="A94" s="267" t="s">
        <v>255</v>
      </c>
      <c r="B94" s="267">
        <v>38</v>
      </c>
      <c r="C94" s="244" t="s">
        <v>256</v>
      </c>
      <c r="D94" s="243" t="s">
        <v>7</v>
      </c>
      <c r="E94" s="245">
        <v>540.20000000000005</v>
      </c>
      <c r="F94" s="246">
        <v>119012</v>
      </c>
      <c r="G94" s="236">
        <f t="shared" si="41"/>
        <v>64290282</v>
      </c>
      <c r="H94" s="125">
        <v>119012</v>
      </c>
      <c r="I94" s="125">
        <f t="shared" si="40"/>
        <v>64290282</v>
      </c>
      <c r="J94" s="124" t="str">
        <f t="shared" si="42"/>
        <v>OK</v>
      </c>
      <c r="K94" s="125"/>
      <c r="L94" s="125">
        <f t="shared" si="43"/>
        <v>0</v>
      </c>
      <c r="M94" s="124" t="str">
        <f t="shared" si="44"/>
        <v>OK</v>
      </c>
      <c r="N94" s="125"/>
      <c r="O94" s="125">
        <f t="shared" si="49"/>
        <v>0</v>
      </c>
      <c r="P94" s="124" t="str">
        <f t="shared" si="50"/>
        <v>OK</v>
      </c>
      <c r="Q94" s="125"/>
      <c r="R94" s="125">
        <f t="shared" si="51"/>
        <v>0</v>
      </c>
      <c r="S94" s="124" t="str">
        <f t="shared" si="52"/>
        <v>OK</v>
      </c>
    </row>
    <row r="95" spans="1:19" ht="25.5" x14ac:dyDescent="0.25">
      <c r="A95" s="267" t="s">
        <v>257</v>
      </c>
      <c r="B95" s="267">
        <v>39</v>
      </c>
      <c r="C95" s="244" t="s">
        <v>258</v>
      </c>
      <c r="D95" s="243" t="s">
        <v>76</v>
      </c>
      <c r="E95" s="245">
        <v>231.73</v>
      </c>
      <c r="F95" s="246">
        <v>21780</v>
      </c>
      <c r="G95" s="236">
        <f t="shared" si="41"/>
        <v>5047079</v>
      </c>
      <c r="H95" s="125">
        <v>21780</v>
      </c>
      <c r="I95" s="125">
        <f t="shared" si="40"/>
        <v>5047079</v>
      </c>
      <c r="J95" s="124" t="str">
        <f t="shared" si="42"/>
        <v>OK</v>
      </c>
      <c r="K95" s="125"/>
      <c r="L95" s="125">
        <f t="shared" si="43"/>
        <v>0</v>
      </c>
      <c r="M95" s="124" t="str">
        <f t="shared" si="44"/>
        <v>OK</v>
      </c>
      <c r="N95" s="125"/>
      <c r="O95" s="125">
        <f t="shared" si="49"/>
        <v>0</v>
      </c>
      <c r="P95" s="124" t="str">
        <f t="shared" si="50"/>
        <v>OK</v>
      </c>
      <c r="Q95" s="125"/>
      <c r="R95" s="125">
        <f t="shared" si="51"/>
        <v>0</v>
      </c>
      <c r="S95" s="124" t="str">
        <f t="shared" si="52"/>
        <v>OK</v>
      </c>
    </row>
    <row r="96" spans="1:19" ht="25.5" x14ac:dyDescent="0.25">
      <c r="A96" s="267" t="s">
        <v>259</v>
      </c>
      <c r="B96" s="267">
        <v>100</v>
      </c>
      <c r="C96" s="244" t="s">
        <v>260</v>
      </c>
      <c r="D96" s="243" t="s">
        <v>76</v>
      </c>
      <c r="E96" s="245">
        <v>1134.7</v>
      </c>
      <c r="F96" s="246">
        <v>21780</v>
      </c>
      <c r="G96" s="236">
        <f t="shared" si="41"/>
        <v>24713766</v>
      </c>
      <c r="H96" s="125">
        <v>21780</v>
      </c>
      <c r="I96" s="125">
        <f t="shared" si="40"/>
        <v>24713766</v>
      </c>
      <c r="J96" s="124" t="str">
        <f t="shared" si="42"/>
        <v>OK</v>
      </c>
      <c r="K96" s="125"/>
      <c r="L96" s="125">
        <f t="shared" si="43"/>
        <v>0</v>
      </c>
      <c r="M96" s="124" t="str">
        <f t="shared" si="44"/>
        <v>OK</v>
      </c>
      <c r="N96" s="125"/>
      <c r="O96" s="125">
        <f t="shared" si="49"/>
        <v>0</v>
      </c>
      <c r="P96" s="124" t="str">
        <f t="shared" si="50"/>
        <v>OK</v>
      </c>
      <c r="Q96" s="125"/>
      <c r="R96" s="125">
        <f t="shared" si="51"/>
        <v>0</v>
      </c>
      <c r="S96" s="124" t="str">
        <f t="shared" si="52"/>
        <v>OK</v>
      </c>
    </row>
    <row r="97" spans="1:19" ht="15" x14ac:dyDescent="0.25">
      <c r="A97" s="267" t="s">
        <v>261</v>
      </c>
      <c r="B97" s="267">
        <v>101</v>
      </c>
      <c r="C97" s="244" t="s">
        <v>243</v>
      </c>
      <c r="D97" s="243" t="s">
        <v>2</v>
      </c>
      <c r="E97" s="245">
        <v>28</v>
      </c>
      <c r="F97" s="246">
        <v>71370</v>
      </c>
      <c r="G97" s="236">
        <f t="shared" si="41"/>
        <v>1998360</v>
      </c>
      <c r="H97" s="125">
        <v>71370</v>
      </c>
      <c r="I97" s="125">
        <f t="shared" si="40"/>
        <v>1998360</v>
      </c>
      <c r="J97" s="124" t="str">
        <f t="shared" si="42"/>
        <v>OK</v>
      </c>
      <c r="K97" s="125"/>
      <c r="L97" s="125">
        <f t="shared" si="43"/>
        <v>0</v>
      </c>
      <c r="M97" s="124" t="str">
        <f t="shared" si="44"/>
        <v>OK</v>
      </c>
      <c r="N97" s="125"/>
      <c r="O97" s="125">
        <f t="shared" si="49"/>
        <v>0</v>
      </c>
      <c r="P97" s="124" t="str">
        <f t="shared" si="50"/>
        <v>OK</v>
      </c>
      <c r="Q97" s="125"/>
      <c r="R97" s="125">
        <f t="shared" si="51"/>
        <v>0</v>
      </c>
      <c r="S97" s="124" t="str">
        <f t="shared" si="52"/>
        <v>OK</v>
      </c>
    </row>
    <row r="98" spans="1:19" ht="51" x14ac:dyDescent="0.25">
      <c r="A98" s="267" t="s">
        <v>262</v>
      </c>
      <c r="B98" s="267">
        <v>102</v>
      </c>
      <c r="C98" s="244" t="s">
        <v>263</v>
      </c>
      <c r="D98" s="243" t="s">
        <v>75</v>
      </c>
      <c r="E98" s="245">
        <v>147.44</v>
      </c>
      <c r="F98" s="246">
        <v>82382</v>
      </c>
      <c r="G98" s="236">
        <f t="shared" si="41"/>
        <v>12146402</v>
      </c>
      <c r="H98" s="125">
        <v>82382</v>
      </c>
      <c r="I98" s="125">
        <f t="shared" si="40"/>
        <v>12146402</v>
      </c>
      <c r="J98" s="124" t="str">
        <f t="shared" si="42"/>
        <v>OK</v>
      </c>
      <c r="K98" s="125"/>
      <c r="L98" s="125">
        <f t="shared" si="43"/>
        <v>0</v>
      </c>
      <c r="M98" s="124" t="str">
        <f t="shared" si="44"/>
        <v>OK</v>
      </c>
      <c r="N98" s="125"/>
      <c r="O98" s="125">
        <f t="shared" si="49"/>
        <v>0</v>
      </c>
      <c r="P98" s="124" t="str">
        <f t="shared" si="50"/>
        <v>OK</v>
      </c>
      <c r="Q98" s="125"/>
      <c r="R98" s="125">
        <f t="shared" si="51"/>
        <v>0</v>
      </c>
      <c r="S98" s="124" t="str">
        <f t="shared" si="52"/>
        <v>OK</v>
      </c>
    </row>
    <row r="99" spans="1:19" ht="38.25" x14ac:dyDescent="0.25">
      <c r="A99" s="267" t="s">
        <v>264</v>
      </c>
      <c r="B99" s="267">
        <v>103</v>
      </c>
      <c r="C99" s="244" t="s">
        <v>265</v>
      </c>
      <c r="D99" s="243" t="s">
        <v>75</v>
      </c>
      <c r="E99" s="245">
        <v>108.96</v>
      </c>
      <c r="F99" s="246">
        <v>40478</v>
      </c>
      <c r="G99" s="236">
        <f t="shared" si="41"/>
        <v>4410483</v>
      </c>
      <c r="H99" s="125">
        <v>40478</v>
      </c>
      <c r="I99" s="125">
        <f t="shared" si="40"/>
        <v>4410483</v>
      </c>
      <c r="J99" s="124" t="str">
        <f t="shared" si="42"/>
        <v>OK</v>
      </c>
      <c r="K99" s="125"/>
      <c r="L99" s="125">
        <f t="shared" si="43"/>
        <v>0</v>
      </c>
      <c r="M99" s="124" t="str">
        <f t="shared" si="44"/>
        <v>OK</v>
      </c>
      <c r="N99" s="125"/>
      <c r="O99" s="125">
        <f t="shared" si="49"/>
        <v>0</v>
      </c>
      <c r="P99" s="124" t="str">
        <f t="shared" si="50"/>
        <v>OK</v>
      </c>
      <c r="Q99" s="125"/>
      <c r="R99" s="125">
        <f t="shared" si="51"/>
        <v>0</v>
      </c>
      <c r="S99" s="124" t="str">
        <f t="shared" si="52"/>
        <v>OK</v>
      </c>
    </row>
    <row r="100" spans="1:19" ht="38.25" x14ac:dyDescent="0.25">
      <c r="A100" s="267" t="s">
        <v>266</v>
      </c>
      <c r="B100" s="267">
        <v>104</v>
      </c>
      <c r="C100" s="244" t="s">
        <v>267</v>
      </c>
      <c r="D100" s="243" t="s">
        <v>75</v>
      </c>
      <c r="E100" s="245">
        <v>256.39999999999998</v>
      </c>
      <c r="F100" s="246">
        <v>4995</v>
      </c>
      <c r="G100" s="236">
        <f t="shared" si="41"/>
        <v>1280718</v>
      </c>
      <c r="H100" s="125">
        <v>4995</v>
      </c>
      <c r="I100" s="125">
        <f t="shared" si="40"/>
        <v>1280718</v>
      </c>
      <c r="J100" s="124" t="str">
        <f t="shared" si="42"/>
        <v>OK</v>
      </c>
      <c r="K100" s="125"/>
      <c r="L100" s="125">
        <f t="shared" si="43"/>
        <v>0</v>
      </c>
      <c r="M100" s="124" t="str">
        <f t="shared" si="44"/>
        <v>OK</v>
      </c>
      <c r="N100" s="125"/>
      <c r="O100" s="125">
        <f t="shared" si="49"/>
        <v>0</v>
      </c>
      <c r="P100" s="124" t="str">
        <f t="shared" si="50"/>
        <v>OK</v>
      </c>
      <c r="Q100" s="125"/>
      <c r="R100" s="125">
        <f t="shared" si="51"/>
        <v>0</v>
      </c>
      <c r="S100" s="124" t="str">
        <f t="shared" si="52"/>
        <v>OK</v>
      </c>
    </row>
    <row r="101" spans="1:19" ht="15" x14ac:dyDescent="0.25">
      <c r="A101" s="262"/>
      <c r="B101" s="262"/>
      <c r="C101" s="263" t="s">
        <v>130</v>
      </c>
      <c r="D101" s="268"/>
      <c r="E101" s="269"/>
      <c r="F101" s="270"/>
      <c r="G101" s="236"/>
      <c r="H101" s="125"/>
      <c r="I101" s="125"/>
      <c r="J101" s="124"/>
      <c r="K101" s="125"/>
      <c r="L101" s="125"/>
      <c r="M101" s="124"/>
      <c r="N101" s="125"/>
      <c r="O101" s="125"/>
      <c r="P101" s="124"/>
      <c r="Q101" s="125"/>
      <c r="R101" s="125"/>
      <c r="S101" s="124"/>
    </row>
    <row r="102" spans="1:19" ht="15" x14ac:dyDescent="0.25">
      <c r="A102" s="271" t="s">
        <v>268</v>
      </c>
      <c r="B102" s="271"/>
      <c r="C102" s="272" t="s">
        <v>269</v>
      </c>
      <c r="D102" s="273"/>
      <c r="E102" s="274"/>
      <c r="F102" s="275"/>
      <c r="G102" s="236"/>
      <c r="H102" s="125"/>
      <c r="I102" s="125"/>
      <c r="J102" s="124"/>
      <c r="K102" s="125"/>
      <c r="L102" s="125"/>
      <c r="M102" s="124"/>
      <c r="N102" s="125"/>
      <c r="O102" s="125"/>
      <c r="P102" s="124"/>
      <c r="Q102" s="125"/>
      <c r="R102" s="125"/>
      <c r="S102" s="124"/>
    </row>
    <row r="103" spans="1:19" ht="15" x14ac:dyDescent="0.25">
      <c r="A103" s="276">
        <v>11</v>
      </c>
      <c r="B103" s="276"/>
      <c r="C103" s="277" t="s">
        <v>270</v>
      </c>
      <c r="D103" s="278"/>
      <c r="E103" s="279"/>
      <c r="F103" s="280"/>
      <c r="G103" s="236"/>
      <c r="H103" s="125"/>
      <c r="I103" s="125"/>
      <c r="J103" s="124"/>
      <c r="K103" s="125"/>
      <c r="L103" s="125"/>
      <c r="M103" s="124"/>
      <c r="N103" s="125"/>
      <c r="O103" s="125"/>
      <c r="P103" s="124"/>
      <c r="Q103" s="125"/>
      <c r="R103" s="125"/>
      <c r="S103" s="124"/>
    </row>
    <row r="104" spans="1:19" ht="15" x14ac:dyDescent="0.25">
      <c r="A104" s="243" t="s">
        <v>271</v>
      </c>
      <c r="B104" s="243">
        <v>60</v>
      </c>
      <c r="C104" s="244" t="s">
        <v>272</v>
      </c>
      <c r="D104" s="243" t="s">
        <v>7</v>
      </c>
      <c r="E104" s="245">
        <v>565.94000000000005</v>
      </c>
      <c r="F104" s="246">
        <v>6709</v>
      </c>
      <c r="G104" s="236">
        <f t="shared" si="41"/>
        <v>3796891</v>
      </c>
      <c r="H104" s="125">
        <v>6709</v>
      </c>
      <c r="I104" s="125">
        <f t="shared" si="40"/>
        <v>3796891</v>
      </c>
      <c r="J104" s="124" t="str">
        <f t="shared" si="42"/>
        <v>OK</v>
      </c>
      <c r="K104" s="125"/>
      <c r="L104" s="125">
        <f t="shared" si="43"/>
        <v>0</v>
      </c>
      <c r="M104" s="124" t="str">
        <f t="shared" si="44"/>
        <v>OK</v>
      </c>
      <c r="N104" s="125"/>
      <c r="O104" s="125">
        <f t="shared" ref="O104:O115" si="53">ROUND($E104*N104,0)</f>
        <v>0</v>
      </c>
      <c r="P104" s="124" t="str">
        <f t="shared" ref="P104:P115" si="54">+IF(N104&lt;=$F104,"OK","NO OK")</f>
        <v>OK</v>
      </c>
      <c r="Q104" s="125"/>
      <c r="R104" s="125">
        <f t="shared" ref="R104:R115" si="55">ROUND($E104*Q104,0)</f>
        <v>0</v>
      </c>
      <c r="S104" s="124" t="str">
        <f t="shared" ref="S104:S115" si="56">+IF(Q104&lt;=$F104,"OK","NO OK")</f>
        <v>OK</v>
      </c>
    </row>
    <row r="105" spans="1:19" ht="15" x14ac:dyDescent="0.25">
      <c r="A105" s="243" t="s">
        <v>273</v>
      </c>
      <c r="B105" s="243">
        <v>61</v>
      </c>
      <c r="C105" s="244" t="s">
        <v>274</v>
      </c>
      <c r="D105" s="243" t="s">
        <v>11</v>
      </c>
      <c r="E105" s="245">
        <v>424.46</v>
      </c>
      <c r="F105" s="246">
        <v>25542</v>
      </c>
      <c r="G105" s="236">
        <f t="shared" si="41"/>
        <v>10841557</v>
      </c>
      <c r="H105" s="125">
        <v>25542</v>
      </c>
      <c r="I105" s="125">
        <f t="shared" si="40"/>
        <v>10841557</v>
      </c>
      <c r="J105" s="124" t="str">
        <f t="shared" si="42"/>
        <v>OK</v>
      </c>
      <c r="K105" s="125"/>
      <c r="L105" s="125">
        <f t="shared" si="43"/>
        <v>0</v>
      </c>
      <c r="M105" s="124" t="str">
        <f t="shared" si="44"/>
        <v>OK</v>
      </c>
      <c r="N105" s="125"/>
      <c r="O105" s="125">
        <f t="shared" si="53"/>
        <v>0</v>
      </c>
      <c r="P105" s="124" t="str">
        <f t="shared" si="54"/>
        <v>OK</v>
      </c>
      <c r="Q105" s="125"/>
      <c r="R105" s="125">
        <f t="shared" si="55"/>
        <v>0</v>
      </c>
      <c r="S105" s="124" t="str">
        <f t="shared" si="56"/>
        <v>OK</v>
      </c>
    </row>
    <row r="106" spans="1:19" ht="63.75" x14ac:dyDescent="0.25">
      <c r="A106" s="243" t="s">
        <v>275</v>
      </c>
      <c r="B106" s="243">
        <v>62</v>
      </c>
      <c r="C106" s="244" t="s">
        <v>276</v>
      </c>
      <c r="D106" s="243" t="s">
        <v>11</v>
      </c>
      <c r="E106" s="245">
        <v>169.78</v>
      </c>
      <c r="F106" s="246">
        <v>129940</v>
      </c>
      <c r="G106" s="236">
        <f t="shared" si="41"/>
        <v>22061213</v>
      </c>
      <c r="H106" s="125">
        <v>129940</v>
      </c>
      <c r="I106" s="125">
        <f t="shared" si="40"/>
        <v>22061213</v>
      </c>
      <c r="J106" s="124" t="str">
        <f t="shared" si="42"/>
        <v>OK</v>
      </c>
      <c r="K106" s="125"/>
      <c r="L106" s="125">
        <f t="shared" si="43"/>
        <v>0</v>
      </c>
      <c r="M106" s="124" t="str">
        <f t="shared" si="44"/>
        <v>OK</v>
      </c>
      <c r="N106" s="125"/>
      <c r="O106" s="125">
        <f t="shared" si="53"/>
        <v>0</v>
      </c>
      <c r="P106" s="124" t="str">
        <f t="shared" si="54"/>
        <v>OK</v>
      </c>
      <c r="Q106" s="125"/>
      <c r="R106" s="125">
        <f t="shared" si="55"/>
        <v>0</v>
      </c>
      <c r="S106" s="124" t="str">
        <f t="shared" si="56"/>
        <v>OK</v>
      </c>
    </row>
    <row r="107" spans="1:19" ht="76.5" x14ac:dyDescent="0.25">
      <c r="A107" s="243" t="s">
        <v>277</v>
      </c>
      <c r="B107" s="243">
        <v>8</v>
      </c>
      <c r="C107" s="244" t="s">
        <v>135</v>
      </c>
      <c r="D107" s="243" t="s">
        <v>11</v>
      </c>
      <c r="E107" s="245">
        <v>84.89</v>
      </c>
      <c r="F107" s="246">
        <v>133901</v>
      </c>
      <c r="G107" s="236">
        <f t="shared" si="41"/>
        <v>11366856</v>
      </c>
      <c r="H107" s="125">
        <v>133901</v>
      </c>
      <c r="I107" s="125">
        <f t="shared" si="40"/>
        <v>11366856</v>
      </c>
      <c r="J107" s="124" t="str">
        <f t="shared" si="42"/>
        <v>OK</v>
      </c>
      <c r="K107" s="125"/>
      <c r="L107" s="125">
        <f t="shared" si="43"/>
        <v>0</v>
      </c>
      <c r="M107" s="124" t="str">
        <f t="shared" si="44"/>
        <v>OK</v>
      </c>
      <c r="N107" s="125"/>
      <c r="O107" s="125">
        <f t="shared" si="53"/>
        <v>0</v>
      </c>
      <c r="P107" s="124" t="str">
        <f t="shared" si="54"/>
        <v>OK</v>
      </c>
      <c r="Q107" s="125"/>
      <c r="R107" s="125">
        <f t="shared" si="55"/>
        <v>0</v>
      </c>
      <c r="S107" s="124" t="str">
        <f t="shared" si="56"/>
        <v>OK</v>
      </c>
    </row>
    <row r="108" spans="1:19" ht="51" x14ac:dyDescent="0.25">
      <c r="A108" s="243" t="s">
        <v>278</v>
      </c>
      <c r="B108" s="243">
        <v>64</v>
      </c>
      <c r="C108" s="244" t="s">
        <v>279</v>
      </c>
      <c r="D108" s="243" t="s">
        <v>11</v>
      </c>
      <c r="E108" s="245">
        <v>169.78</v>
      </c>
      <c r="F108" s="246">
        <v>129940</v>
      </c>
      <c r="G108" s="236">
        <f t="shared" si="41"/>
        <v>22061213</v>
      </c>
      <c r="H108" s="125">
        <v>129940</v>
      </c>
      <c r="I108" s="125">
        <f t="shared" si="40"/>
        <v>22061213</v>
      </c>
      <c r="J108" s="124" t="str">
        <f t="shared" si="42"/>
        <v>OK</v>
      </c>
      <c r="K108" s="125"/>
      <c r="L108" s="125">
        <f t="shared" si="43"/>
        <v>0</v>
      </c>
      <c r="M108" s="124" t="str">
        <f t="shared" si="44"/>
        <v>OK</v>
      </c>
      <c r="N108" s="125"/>
      <c r="O108" s="125">
        <f t="shared" si="53"/>
        <v>0</v>
      </c>
      <c r="P108" s="124" t="str">
        <f t="shared" si="54"/>
        <v>OK</v>
      </c>
      <c r="Q108" s="125"/>
      <c r="R108" s="125">
        <f t="shared" si="55"/>
        <v>0</v>
      </c>
      <c r="S108" s="124" t="str">
        <f t="shared" si="56"/>
        <v>OK</v>
      </c>
    </row>
    <row r="109" spans="1:19" ht="25.5" x14ac:dyDescent="0.25">
      <c r="A109" s="243" t="s">
        <v>280</v>
      </c>
      <c r="B109" s="243">
        <v>74</v>
      </c>
      <c r="C109" s="244" t="s">
        <v>281</v>
      </c>
      <c r="D109" s="243" t="s">
        <v>11</v>
      </c>
      <c r="E109" s="245">
        <v>29.62</v>
      </c>
      <c r="F109" s="246">
        <v>678419</v>
      </c>
      <c r="G109" s="236">
        <f t="shared" si="41"/>
        <v>20094771</v>
      </c>
      <c r="H109" s="125">
        <v>678419</v>
      </c>
      <c r="I109" s="125">
        <f t="shared" si="40"/>
        <v>20094771</v>
      </c>
      <c r="J109" s="124" t="str">
        <f t="shared" si="42"/>
        <v>OK</v>
      </c>
      <c r="K109" s="125"/>
      <c r="L109" s="125">
        <f t="shared" si="43"/>
        <v>0</v>
      </c>
      <c r="M109" s="124" t="str">
        <f t="shared" si="44"/>
        <v>OK</v>
      </c>
      <c r="N109" s="125"/>
      <c r="O109" s="125">
        <f t="shared" si="53"/>
        <v>0</v>
      </c>
      <c r="P109" s="124" t="str">
        <f t="shared" si="54"/>
        <v>OK</v>
      </c>
      <c r="Q109" s="125"/>
      <c r="R109" s="125">
        <f t="shared" si="55"/>
        <v>0</v>
      </c>
      <c r="S109" s="124" t="str">
        <f t="shared" si="56"/>
        <v>OK</v>
      </c>
    </row>
    <row r="110" spans="1:19" ht="25.5" x14ac:dyDescent="0.25">
      <c r="A110" s="243" t="s">
        <v>282</v>
      </c>
      <c r="B110" s="243">
        <v>84</v>
      </c>
      <c r="C110" s="244" t="s">
        <v>283</v>
      </c>
      <c r="D110" s="243" t="s">
        <v>76</v>
      </c>
      <c r="E110" s="245">
        <v>1939</v>
      </c>
      <c r="F110" s="246">
        <v>4946</v>
      </c>
      <c r="G110" s="236">
        <f t="shared" si="41"/>
        <v>9590294</v>
      </c>
      <c r="H110" s="125">
        <v>4946</v>
      </c>
      <c r="I110" s="125">
        <f t="shared" si="40"/>
        <v>9590294</v>
      </c>
      <c r="J110" s="124" t="str">
        <f t="shared" si="42"/>
        <v>OK</v>
      </c>
      <c r="K110" s="125"/>
      <c r="L110" s="125">
        <f t="shared" si="43"/>
        <v>0</v>
      </c>
      <c r="M110" s="124" t="str">
        <f t="shared" si="44"/>
        <v>OK</v>
      </c>
      <c r="N110" s="125"/>
      <c r="O110" s="125">
        <f t="shared" si="53"/>
        <v>0</v>
      </c>
      <c r="P110" s="124" t="str">
        <f t="shared" si="54"/>
        <v>OK</v>
      </c>
      <c r="Q110" s="125"/>
      <c r="R110" s="125">
        <f t="shared" si="55"/>
        <v>0</v>
      </c>
      <c r="S110" s="124" t="str">
        <f t="shared" si="56"/>
        <v>OK</v>
      </c>
    </row>
    <row r="111" spans="1:19" ht="15" x14ac:dyDescent="0.25">
      <c r="A111" s="243" t="s">
        <v>284</v>
      </c>
      <c r="B111" s="243">
        <v>40</v>
      </c>
      <c r="C111" s="244" t="s">
        <v>285</v>
      </c>
      <c r="D111" s="243" t="s">
        <v>7</v>
      </c>
      <c r="E111" s="245">
        <v>54</v>
      </c>
      <c r="F111" s="246">
        <v>30113</v>
      </c>
      <c r="G111" s="236">
        <f t="shared" si="41"/>
        <v>1626102</v>
      </c>
      <c r="H111" s="125">
        <v>30113</v>
      </c>
      <c r="I111" s="125">
        <f t="shared" si="40"/>
        <v>1626102</v>
      </c>
      <c r="J111" s="124" t="str">
        <f t="shared" si="42"/>
        <v>OK</v>
      </c>
      <c r="K111" s="125"/>
      <c r="L111" s="125">
        <f t="shared" si="43"/>
        <v>0</v>
      </c>
      <c r="M111" s="124" t="str">
        <f t="shared" si="44"/>
        <v>OK</v>
      </c>
      <c r="N111" s="125"/>
      <c r="O111" s="125">
        <f t="shared" si="53"/>
        <v>0</v>
      </c>
      <c r="P111" s="124" t="str">
        <f t="shared" si="54"/>
        <v>OK</v>
      </c>
      <c r="Q111" s="125"/>
      <c r="R111" s="125">
        <f t="shared" si="55"/>
        <v>0</v>
      </c>
      <c r="S111" s="124" t="str">
        <f t="shared" si="56"/>
        <v>OK</v>
      </c>
    </row>
    <row r="112" spans="1:19" ht="25.5" x14ac:dyDescent="0.25">
      <c r="A112" s="243" t="s">
        <v>286</v>
      </c>
      <c r="B112" s="243">
        <v>6</v>
      </c>
      <c r="C112" s="244" t="s">
        <v>129</v>
      </c>
      <c r="D112" s="243" t="s">
        <v>11</v>
      </c>
      <c r="E112" s="245">
        <v>551.79999999999995</v>
      </c>
      <c r="F112" s="246">
        <v>24780</v>
      </c>
      <c r="G112" s="236">
        <f t="shared" si="41"/>
        <v>13673604</v>
      </c>
      <c r="H112" s="125">
        <v>24780</v>
      </c>
      <c r="I112" s="125">
        <f t="shared" si="40"/>
        <v>13673604</v>
      </c>
      <c r="J112" s="124" t="str">
        <f t="shared" si="42"/>
        <v>OK</v>
      </c>
      <c r="K112" s="125"/>
      <c r="L112" s="125">
        <f t="shared" si="43"/>
        <v>0</v>
      </c>
      <c r="M112" s="124" t="str">
        <f t="shared" si="44"/>
        <v>OK</v>
      </c>
      <c r="N112" s="125"/>
      <c r="O112" s="125">
        <f t="shared" si="53"/>
        <v>0</v>
      </c>
      <c r="P112" s="124" t="str">
        <f t="shared" si="54"/>
        <v>OK</v>
      </c>
      <c r="Q112" s="125"/>
      <c r="R112" s="125">
        <f t="shared" si="55"/>
        <v>0</v>
      </c>
      <c r="S112" s="124" t="str">
        <f t="shared" si="56"/>
        <v>OK</v>
      </c>
    </row>
    <row r="113" spans="1:19" ht="15" x14ac:dyDescent="0.25">
      <c r="A113" s="243" t="s">
        <v>287</v>
      </c>
      <c r="B113" s="243">
        <v>59</v>
      </c>
      <c r="C113" s="244" t="s">
        <v>288</v>
      </c>
      <c r="D113" s="243" t="s">
        <v>7</v>
      </c>
      <c r="E113" s="245">
        <v>47.62</v>
      </c>
      <c r="F113" s="246">
        <v>17057</v>
      </c>
      <c r="G113" s="236">
        <f t="shared" si="41"/>
        <v>812254</v>
      </c>
      <c r="H113" s="125">
        <v>17057</v>
      </c>
      <c r="I113" s="125">
        <f t="shared" si="40"/>
        <v>812254</v>
      </c>
      <c r="J113" s="124" t="str">
        <f t="shared" si="42"/>
        <v>OK</v>
      </c>
      <c r="K113" s="125"/>
      <c r="L113" s="125">
        <f t="shared" si="43"/>
        <v>0</v>
      </c>
      <c r="M113" s="124" t="str">
        <f t="shared" si="44"/>
        <v>OK</v>
      </c>
      <c r="N113" s="125"/>
      <c r="O113" s="125">
        <f t="shared" si="53"/>
        <v>0</v>
      </c>
      <c r="P113" s="124" t="str">
        <f t="shared" si="54"/>
        <v>OK</v>
      </c>
      <c r="Q113" s="125"/>
      <c r="R113" s="125">
        <f t="shared" si="55"/>
        <v>0</v>
      </c>
      <c r="S113" s="124" t="str">
        <f t="shared" si="56"/>
        <v>OK</v>
      </c>
    </row>
    <row r="114" spans="1:19" ht="25.5" x14ac:dyDescent="0.25">
      <c r="A114" s="243" t="s">
        <v>289</v>
      </c>
      <c r="B114" s="243">
        <v>105</v>
      </c>
      <c r="C114" s="244" t="s">
        <v>290</v>
      </c>
      <c r="D114" s="243" t="s">
        <v>7</v>
      </c>
      <c r="E114" s="245">
        <v>156.05000000000001</v>
      </c>
      <c r="F114" s="246">
        <v>44085</v>
      </c>
      <c r="G114" s="236">
        <f t="shared" si="41"/>
        <v>6879464</v>
      </c>
      <c r="H114" s="125">
        <v>44085</v>
      </c>
      <c r="I114" s="125">
        <f t="shared" si="40"/>
        <v>6879464</v>
      </c>
      <c r="J114" s="124" t="str">
        <f t="shared" si="42"/>
        <v>OK</v>
      </c>
      <c r="K114" s="125"/>
      <c r="L114" s="125">
        <f t="shared" si="43"/>
        <v>0</v>
      </c>
      <c r="M114" s="124" t="str">
        <f t="shared" si="44"/>
        <v>OK</v>
      </c>
      <c r="N114" s="125"/>
      <c r="O114" s="125">
        <f t="shared" si="53"/>
        <v>0</v>
      </c>
      <c r="P114" s="124" t="str">
        <f t="shared" si="54"/>
        <v>OK</v>
      </c>
      <c r="Q114" s="125"/>
      <c r="R114" s="125">
        <f t="shared" si="55"/>
        <v>0</v>
      </c>
      <c r="S114" s="124" t="str">
        <f t="shared" si="56"/>
        <v>OK</v>
      </c>
    </row>
    <row r="115" spans="1:19" ht="38.25" x14ac:dyDescent="0.25">
      <c r="A115" s="243" t="s">
        <v>291</v>
      </c>
      <c r="B115" s="243">
        <v>106</v>
      </c>
      <c r="C115" s="244" t="s">
        <v>292</v>
      </c>
      <c r="D115" s="243" t="s">
        <v>11</v>
      </c>
      <c r="E115" s="245">
        <v>43.69</v>
      </c>
      <c r="F115" s="246">
        <v>24780</v>
      </c>
      <c r="G115" s="236">
        <f t="shared" si="41"/>
        <v>1082638</v>
      </c>
      <c r="H115" s="125">
        <v>24780</v>
      </c>
      <c r="I115" s="125">
        <f t="shared" si="40"/>
        <v>1082638</v>
      </c>
      <c r="J115" s="124" t="str">
        <f t="shared" si="42"/>
        <v>OK</v>
      </c>
      <c r="K115" s="125"/>
      <c r="L115" s="125">
        <f t="shared" si="43"/>
        <v>0</v>
      </c>
      <c r="M115" s="124" t="str">
        <f t="shared" si="44"/>
        <v>OK</v>
      </c>
      <c r="N115" s="125"/>
      <c r="O115" s="125">
        <f t="shared" si="53"/>
        <v>0</v>
      </c>
      <c r="P115" s="124" t="str">
        <f t="shared" si="54"/>
        <v>OK</v>
      </c>
      <c r="Q115" s="125"/>
      <c r="R115" s="125">
        <f t="shared" si="55"/>
        <v>0</v>
      </c>
      <c r="S115" s="124" t="str">
        <f t="shared" si="56"/>
        <v>OK</v>
      </c>
    </row>
    <row r="116" spans="1:19" ht="15" x14ac:dyDescent="0.25">
      <c r="A116" s="276"/>
      <c r="B116" s="276"/>
      <c r="C116" s="281" t="s">
        <v>130</v>
      </c>
      <c r="D116" s="276"/>
      <c r="E116" s="282"/>
      <c r="F116" s="283"/>
      <c r="G116" s="236"/>
      <c r="H116" s="125"/>
      <c r="I116" s="125"/>
      <c r="J116" s="124"/>
      <c r="K116" s="125"/>
      <c r="L116" s="125"/>
      <c r="M116" s="124"/>
      <c r="N116" s="125"/>
      <c r="O116" s="125"/>
      <c r="P116" s="124"/>
      <c r="Q116" s="125"/>
      <c r="R116" s="125"/>
      <c r="S116" s="124"/>
    </row>
    <row r="117" spans="1:19" ht="15" x14ac:dyDescent="0.25">
      <c r="A117" s="276">
        <v>12</v>
      </c>
      <c r="B117" s="276"/>
      <c r="C117" s="281" t="s">
        <v>293</v>
      </c>
      <c r="D117" s="278"/>
      <c r="E117" s="284"/>
      <c r="F117" s="280"/>
      <c r="G117" s="236"/>
      <c r="H117" s="125"/>
      <c r="I117" s="125"/>
      <c r="J117" s="124"/>
      <c r="K117" s="125"/>
      <c r="L117" s="125"/>
      <c r="M117" s="124"/>
      <c r="N117" s="125"/>
      <c r="O117" s="125"/>
      <c r="P117" s="124"/>
      <c r="Q117" s="125"/>
      <c r="R117" s="125"/>
      <c r="S117" s="124"/>
    </row>
    <row r="118" spans="1:19" ht="15" x14ac:dyDescent="0.25">
      <c r="A118" s="243" t="s">
        <v>294</v>
      </c>
      <c r="B118" s="243">
        <v>60</v>
      </c>
      <c r="C118" s="244" t="s">
        <v>272</v>
      </c>
      <c r="D118" s="243" t="s">
        <v>7</v>
      </c>
      <c r="E118" s="245">
        <v>1945.98</v>
      </c>
      <c r="F118" s="246">
        <v>6709</v>
      </c>
      <c r="G118" s="236">
        <f t="shared" si="41"/>
        <v>13055580</v>
      </c>
      <c r="H118" s="125">
        <v>6709</v>
      </c>
      <c r="I118" s="125">
        <f t="shared" si="40"/>
        <v>13055580</v>
      </c>
      <c r="J118" s="124" t="str">
        <f t="shared" si="42"/>
        <v>OK</v>
      </c>
      <c r="K118" s="125"/>
      <c r="L118" s="125">
        <f t="shared" si="43"/>
        <v>0</v>
      </c>
      <c r="M118" s="124" t="str">
        <f t="shared" si="44"/>
        <v>OK</v>
      </c>
      <c r="N118" s="125"/>
      <c r="O118" s="125">
        <f t="shared" ref="O118:O128" si="57">ROUND($E118*N118,0)</f>
        <v>0</v>
      </c>
      <c r="P118" s="124" t="str">
        <f t="shared" ref="P118:P128" si="58">+IF(N118&lt;=$F118,"OK","NO OK")</f>
        <v>OK</v>
      </c>
      <c r="Q118" s="125"/>
      <c r="R118" s="125">
        <f t="shared" ref="R118:R128" si="59">ROUND($E118*Q118,0)</f>
        <v>0</v>
      </c>
      <c r="S118" s="124" t="str">
        <f t="shared" ref="S118:S128" si="60">+IF(Q118&lt;=$F118,"OK","NO OK")</f>
        <v>OK</v>
      </c>
    </row>
    <row r="119" spans="1:19" ht="25.5" x14ac:dyDescent="0.25">
      <c r="A119" s="243" t="s">
        <v>295</v>
      </c>
      <c r="B119" s="243">
        <v>89</v>
      </c>
      <c r="C119" s="244" t="s">
        <v>296</v>
      </c>
      <c r="D119" s="243" t="s">
        <v>11</v>
      </c>
      <c r="E119" s="245">
        <v>667.42</v>
      </c>
      <c r="F119" s="246">
        <v>11376</v>
      </c>
      <c r="G119" s="236">
        <f t="shared" si="41"/>
        <v>7592570</v>
      </c>
      <c r="H119" s="125">
        <v>11376</v>
      </c>
      <c r="I119" s="125">
        <f t="shared" si="40"/>
        <v>7592570</v>
      </c>
      <c r="J119" s="124" t="str">
        <f t="shared" si="42"/>
        <v>OK</v>
      </c>
      <c r="K119" s="125"/>
      <c r="L119" s="125">
        <f t="shared" si="43"/>
        <v>0</v>
      </c>
      <c r="M119" s="124" t="str">
        <f t="shared" si="44"/>
        <v>OK</v>
      </c>
      <c r="N119" s="125"/>
      <c r="O119" s="125">
        <f t="shared" si="57"/>
        <v>0</v>
      </c>
      <c r="P119" s="124" t="str">
        <f t="shared" si="58"/>
        <v>OK</v>
      </c>
      <c r="Q119" s="125"/>
      <c r="R119" s="125">
        <f t="shared" si="59"/>
        <v>0</v>
      </c>
      <c r="S119" s="124" t="str">
        <f t="shared" si="60"/>
        <v>OK</v>
      </c>
    </row>
    <row r="120" spans="1:19" ht="63.75" x14ac:dyDescent="0.25">
      <c r="A120" s="243" t="s">
        <v>297</v>
      </c>
      <c r="B120" s="243">
        <v>63</v>
      </c>
      <c r="C120" s="244" t="s">
        <v>298</v>
      </c>
      <c r="D120" s="243" t="s">
        <v>11</v>
      </c>
      <c r="E120" s="245">
        <v>250.28</v>
      </c>
      <c r="F120" s="246">
        <v>129940</v>
      </c>
      <c r="G120" s="236">
        <f t="shared" si="41"/>
        <v>32521383</v>
      </c>
      <c r="H120" s="125">
        <v>129940</v>
      </c>
      <c r="I120" s="125">
        <f t="shared" si="40"/>
        <v>32521383</v>
      </c>
      <c r="J120" s="124" t="str">
        <f t="shared" si="42"/>
        <v>OK</v>
      </c>
      <c r="K120" s="125"/>
      <c r="L120" s="125">
        <f t="shared" si="43"/>
        <v>0</v>
      </c>
      <c r="M120" s="124" t="str">
        <f t="shared" si="44"/>
        <v>OK</v>
      </c>
      <c r="N120" s="125"/>
      <c r="O120" s="125">
        <f t="shared" si="57"/>
        <v>0</v>
      </c>
      <c r="P120" s="124" t="str">
        <f t="shared" si="58"/>
        <v>OK</v>
      </c>
      <c r="Q120" s="125"/>
      <c r="R120" s="125">
        <f t="shared" si="59"/>
        <v>0</v>
      </c>
      <c r="S120" s="124" t="str">
        <f t="shared" si="60"/>
        <v>OK</v>
      </c>
    </row>
    <row r="121" spans="1:19" ht="76.5" x14ac:dyDescent="0.25">
      <c r="A121" s="243" t="s">
        <v>299</v>
      </c>
      <c r="B121" s="243">
        <v>109</v>
      </c>
      <c r="C121" s="244" t="s">
        <v>300</v>
      </c>
      <c r="D121" s="243" t="s">
        <v>11</v>
      </c>
      <c r="E121" s="245">
        <v>166.85</v>
      </c>
      <c r="F121" s="246">
        <v>133901</v>
      </c>
      <c r="G121" s="236">
        <f t="shared" si="41"/>
        <v>22341382</v>
      </c>
      <c r="H121" s="125">
        <v>133901</v>
      </c>
      <c r="I121" s="125">
        <f t="shared" si="40"/>
        <v>22341382</v>
      </c>
      <c r="J121" s="124" t="str">
        <f t="shared" si="42"/>
        <v>OK</v>
      </c>
      <c r="K121" s="125"/>
      <c r="L121" s="125">
        <f t="shared" si="43"/>
        <v>0</v>
      </c>
      <c r="M121" s="124" t="str">
        <f t="shared" si="44"/>
        <v>OK</v>
      </c>
      <c r="N121" s="125"/>
      <c r="O121" s="125">
        <f t="shared" si="57"/>
        <v>0</v>
      </c>
      <c r="P121" s="124" t="str">
        <f t="shared" si="58"/>
        <v>OK</v>
      </c>
      <c r="Q121" s="125"/>
      <c r="R121" s="125">
        <f t="shared" si="59"/>
        <v>0</v>
      </c>
      <c r="S121" s="124" t="str">
        <f t="shared" si="60"/>
        <v>OK</v>
      </c>
    </row>
    <row r="122" spans="1:19" ht="25.5" x14ac:dyDescent="0.25">
      <c r="A122" s="243" t="s">
        <v>301</v>
      </c>
      <c r="B122" s="243">
        <v>75</v>
      </c>
      <c r="C122" s="244" t="s">
        <v>302</v>
      </c>
      <c r="D122" s="243" t="s">
        <v>11</v>
      </c>
      <c r="E122" s="245">
        <v>75.61</v>
      </c>
      <c r="F122" s="246">
        <v>678419</v>
      </c>
      <c r="G122" s="236">
        <f t="shared" si="41"/>
        <v>51295261</v>
      </c>
      <c r="H122" s="125">
        <v>678419</v>
      </c>
      <c r="I122" s="125">
        <f t="shared" si="40"/>
        <v>51295261</v>
      </c>
      <c r="J122" s="124" t="str">
        <f t="shared" si="42"/>
        <v>OK</v>
      </c>
      <c r="K122" s="125"/>
      <c r="L122" s="125">
        <f t="shared" si="43"/>
        <v>0</v>
      </c>
      <c r="M122" s="124" t="str">
        <f t="shared" si="44"/>
        <v>OK</v>
      </c>
      <c r="N122" s="125"/>
      <c r="O122" s="125">
        <f t="shared" si="57"/>
        <v>0</v>
      </c>
      <c r="P122" s="124" t="str">
        <f t="shared" si="58"/>
        <v>OK</v>
      </c>
      <c r="Q122" s="125"/>
      <c r="R122" s="125">
        <f t="shared" si="59"/>
        <v>0</v>
      </c>
      <c r="S122" s="124" t="str">
        <f t="shared" si="60"/>
        <v>OK</v>
      </c>
    </row>
    <row r="123" spans="1:19" ht="25.5" x14ac:dyDescent="0.25">
      <c r="A123" s="243" t="s">
        <v>303</v>
      </c>
      <c r="B123" s="243">
        <v>85</v>
      </c>
      <c r="C123" s="244" t="s">
        <v>304</v>
      </c>
      <c r="D123" s="243" t="s">
        <v>76</v>
      </c>
      <c r="E123" s="245">
        <v>7365.12</v>
      </c>
      <c r="F123" s="246">
        <v>4946</v>
      </c>
      <c r="G123" s="236">
        <f t="shared" si="41"/>
        <v>36427884</v>
      </c>
      <c r="H123" s="125">
        <v>4946</v>
      </c>
      <c r="I123" s="125">
        <f t="shared" si="40"/>
        <v>36427884</v>
      </c>
      <c r="J123" s="124" t="str">
        <f t="shared" si="42"/>
        <v>OK</v>
      </c>
      <c r="K123" s="125"/>
      <c r="L123" s="125">
        <f t="shared" si="43"/>
        <v>0</v>
      </c>
      <c r="M123" s="124" t="str">
        <f t="shared" si="44"/>
        <v>OK</v>
      </c>
      <c r="N123" s="125"/>
      <c r="O123" s="125">
        <f t="shared" si="57"/>
        <v>0</v>
      </c>
      <c r="P123" s="124" t="str">
        <f t="shared" si="58"/>
        <v>OK</v>
      </c>
      <c r="Q123" s="125"/>
      <c r="R123" s="125">
        <f t="shared" si="59"/>
        <v>0</v>
      </c>
      <c r="S123" s="124" t="str">
        <f t="shared" si="60"/>
        <v>OK</v>
      </c>
    </row>
    <row r="124" spans="1:19" ht="25.5" x14ac:dyDescent="0.25">
      <c r="A124" s="243" t="s">
        <v>305</v>
      </c>
      <c r="B124" s="243">
        <v>6</v>
      </c>
      <c r="C124" s="244" t="s">
        <v>129</v>
      </c>
      <c r="D124" s="243" t="s">
        <v>11</v>
      </c>
      <c r="E124" s="245">
        <v>867.64</v>
      </c>
      <c r="F124" s="246">
        <v>24780</v>
      </c>
      <c r="G124" s="236">
        <f t="shared" si="41"/>
        <v>21500119</v>
      </c>
      <c r="H124" s="125">
        <v>24780</v>
      </c>
      <c r="I124" s="125">
        <f t="shared" si="40"/>
        <v>21500119</v>
      </c>
      <c r="J124" s="124" t="str">
        <f t="shared" si="42"/>
        <v>OK</v>
      </c>
      <c r="K124" s="125"/>
      <c r="L124" s="125">
        <f t="shared" si="43"/>
        <v>0</v>
      </c>
      <c r="M124" s="124" t="str">
        <f t="shared" si="44"/>
        <v>OK</v>
      </c>
      <c r="N124" s="125"/>
      <c r="O124" s="125">
        <f t="shared" si="57"/>
        <v>0</v>
      </c>
      <c r="P124" s="124" t="str">
        <f t="shared" si="58"/>
        <v>OK</v>
      </c>
      <c r="Q124" s="125"/>
      <c r="R124" s="125">
        <f t="shared" si="59"/>
        <v>0</v>
      </c>
      <c r="S124" s="124" t="str">
        <f t="shared" si="60"/>
        <v>OK</v>
      </c>
    </row>
    <row r="125" spans="1:19" ht="15" x14ac:dyDescent="0.25">
      <c r="A125" s="243" t="s">
        <v>306</v>
      </c>
      <c r="B125" s="243">
        <v>40</v>
      </c>
      <c r="C125" s="244" t="s">
        <v>285</v>
      </c>
      <c r="D125" s="243" t="s">
        <v>7</v>
      </c>
      <c r="E125" s="245">
        <v>252.04</v>
      </c>
      <c r="F125" s="246">
        <v>30113</v>
      </c>
      <c r="G125" s="236">
        <f t="shared" si="41"/>
        <v>7589681</v>
      </c>
      <c r="H125" s="125">
        <v>30113</v>
      </c>
      <c r="I125" s="125">
        <f t="shared" si="40"/>
        <v>7589681</v>
      </c>
      <c r="J125" s="124" t="str">
        <f t="shared" si="42"/>
        <v>OK</v>
      </c>
      <c r="K125" s="125"/>
      <c r="L125" s="125">
        <f t="shared" si="43"/>
        <v>0</v>
      </c>
      <c r="M125" s="124" t="str">
        <f t="shared" si="44"/>
        <v>OK</v>
      </c>
      <c r="N125" s="125"/>
      <c r="O125" s="125">
        <f t="shared" si="57"/>
        <v>0</v>
      </c>
      <c r="P125" s="124" t="str">
        <f t="shared" si="58"/>
        <v>OK</v>
      </c>
      <c r="Q125" s="125"/>
      <c r="R125" s="125">
        <f t="shared" si="59"/>
        <v>0</v>
      </c>
      <c r="S125" s="124" t="str">
        <f t="shared" si="60"/>
        <v>OK</v>
      </c>
    </row>
    <row r="126" spans="1:19" ht="25.5" x14ac:dyDescent="0.25">
      <c r="A126" s="243" t="s">
        <v>307</v>
      </c>
      <c r="B126" s="243">
        <v>107</v>
      </c>
      <c r="C126" s="244" t="s">
        <v>308</v>
      </c>
      <c r="D126" s="243" t="s">
        <v>11</v>
      </c>
      <c r="E126" s="245">
        <v>78.650000000000006</v>
      </c>
      <c r="F126" s="246">
        <v>707214</v>
      </c>
      <c r="G126" s="236">
        <f t="shared" si="41"/>
        <v>55622381</v>
      </c>
      <c r="H126" s="125">
        <v>707214</v>
      </c>
      <c r="I126" s="125">
        <f t="shared" si="40"/>
        <v>55622381</v>
      </c>
      <c r="J126" s="124" t="str">
        <f t="shared" si="42"/>
        <v>OK</v>
      </c>
      <c r="K126" s="125"/>
      <c r="L126" s="125">
        <f t="shared" si="43"/>
        <v>0</v>
      </c>
      <c r="M126" s="124" t="str">
        <f t="shared" si="44"/>
        <v>OK</v>
      </c>
      <c r="N126" s="125"/>
      <c r="O126" s="125">
        <f t="shared" si="57"/>
        <v>0</v>
      </c>
      <c r="P126" s="124" t="str">
        <f t="shared" si="58"/>
        <v>OK</v>
      </c>
      <c r="Q126" s="125"/>
      <c r="R126" s="125">
        <f t="shared" si="59"/>
        <v>0</v>
      </c>
      <c r="S126" s="124" t="str">
        <f t="shared" si="60"/>
        <v>OK</v>
      </c>
    </row>
    <row r="127" spans="1:19" ht="15" x14ac:dyDescent="0.25">
      <c r="A127" s="243" t="s">
        <v>309</v>
      </c>
      <c r="B127" s="243">
        <v>56</v>
      </c>
      <c r="C127" s="244" t="s">
        <v>310</v>
      </c>
      <c r="D127" s="243" t="s">
        <v>7</v>
      </c>
      <c r="E127" s="245">
        <v>524.34</v>
      </c>
      <c r="F127" s="246">
        <v>8043</v>
      </c>
      <c r="G127" s="236">
        <f t="shared" si="41"/>
        <v>4217267</v>
      </c>
      <c r="H127" s="125">
        <v>8043</v>
      </c>
      <c r="I127" s="125">
        <f t="shared" si="40"/>
        <v>4217267</v>
      </c>
      <c r="J127" s="124" t="str">
        <f t="shared" si="42"/>
        <v>OK</v>
      </c>
      <c r="K127" s="125"/>
      <c r="L127" s="125">
        <f t="shared" si="43"/>
        <v>0</v>
      </c>
      <c r="M127" s="124" t="str">
        <f t="shared" si="44"/>
        <v>OK</v>
      </c>
      <c r="N127" s="125"/>
      <c r="O127" s="125">
        <f t="shared" si="57"/>
        <v>0</v>
      </c>
      <c r="P127" s="124" t="str">
        <f t="shared" si="58"/>
        <v>OK</v>
      </c>
      <c r="Q127" s="125"/>
      <c r="R127" s="125">
        <f t="shared" si="59"/>
        <v>0</v>
      </c>
      <c r="S127" s="124" t="str">
        <f t="shared" si="60"/>
        <v>OK</v>
      </c>
    </row>
    <row r="128" spans="1:19" ht="76.5" x14ac:dyDescent="0.25">
      <c r="A128" s="243" t="s">
        <v>311</v>
      </c>
      <c r="B128" s="243">
        <v>10</v>
      </c>
      <c r="C128" s="244" t="s">
        <v>312</v>
      </c>
      <c r="D128" s="243" t="s">
        <v>11</v>
      </c>
      <c r="E128" s="245">
        <v>333.71</v>
      </c>
      <c r="F128" s="246">
        <v>38698</v>
      </c>
      <c r="G128" s="236">
        <f t="shared" si="41"/>
        <v>12913910</v>
      </c>
      <c r="H128" s="125">
        <v>38698</v>
      </c>
      <c r="I128" s="125">
        <f t="shared" si="40"/>
        <v>12913910</v>
      </c>
      <c r="J128" s="124" t="str">
        <f t="shared" si="42"/>
        <v>OK</v>
      </c>
      <c r="K128" s="125"/>
      <c r="L128" s="125">
        <f t="shared" si="43"/>
        <v>0</v>
      </c>
      <c r="M128" s="124" t="str">
        <f t="shared" si="44"/>
        <v>OK</v>
      </c>
      <c r="N128" s="125"/>
      <c r="O128" s="125">
        <f t="shared" si="57"/>
        <v>0</v>
      </c>
      <c r="P128" s="124" t="str">
        <f t="shared" si="58"/>
        <v>OK</v>
      </c>
      <c r="Q128" s="125"/>
      <c r="R128" s="125">
        <f t="shared" si="59"/>
        <v>0</v>
      </c>
      <c r="S128" s="124" t="str">
        <f t="shared" si="60"/>
        <v>OK</v>
      </c>
    </row>
    <row r="129" spans="1:19" ht="15" x14ac:dyDescent="0.25">
      <c r="A129" s="276"/>
      <c r="B129" s="276"/>
      <c r="C129" s="277" t="s">
        <v>130</v>
      </c>
      <c r="D129" s="276"/>
      <c r="E129" s="282"/>
      <c r="F129" s="283"/>
      <c r="G129" s="236"/>
      <c r="H129" s="125"/>
      <c r="I129" s="125"/>
      <c r="J129" s="124"/>
      <c r="K129" s="125"/>
      <c r="L129" s="125"/>
      <c r="M129" s="124"/>
      <c r="N129" s="125"/>
      <c r="O129" s="125"/>
      <c r="P129" s="124"/>
      <c r="Q129" s="125"/>
      <c r="R129" s="125"/>
      <c r="S129" s="124"/>
    </row>
    <row r="130" spans="1:19" ht="15" x14ac:dyDescent="0.25">
      <c r="A130" s="276"/>
      <c r="B130" s="276"/>
      <c r="C130" s="281" t="s">
        <v>313</v>
      </c>
      <c r="D130" s="278"/>
      <c r="E130" s="284"/>
      <c r="F130" s="280"/>
      <c r="G130" s="236"/>
      <c r="H130" s="125"/>
      <c r="I130" s="125"/>
      <c r="J130" s="124"/>
      <c r="K130" s="125"/>
      <c r="L130" s="125"/>
      <c r="M130" s="124"/>
      <c r="N130" s="125"/>
      <c r="O130" s="125"/>
      <c r="P130" s="124"/>
      <c r="Q130" s="125"/>
      <c r="R130" s="125"/>
      <c r="S130" s="124"/>
    </row>
    <row r="131" spans="1:19" ht="15" x14ac:dyDescent="0.25">
      <c r="A131" s="276">
        <v>13</v>
      </c>
      <c r="B131" s="276"/>
      <c r="C131" s="281" t="s">
        <v>314</v>
      </c>
      <c r="D131" s="281"/>
      <c r="E131" s="285"/>
      <c r="F131" s="286"/>
      <c r="G131" s="236"/>
      <c r="H131" s="125"/>
      <c r="I131" s="125"/>
      <c r="J131" s="124"/>
      <c r="K131" s="125"/>
      <c r="L131" s="125"/>
      <c r="M131" s="124"/>
      <c r="N131" s="125"/>
      <c r="O131" s="125"/>
      <c r="P131" s="124"/>
      <c r="Q131" s="125"/>
      <c r="R131" s="125"/>
      <c r="S131" s="124"/>
    </row>
    <row r="132" spans="1:19" ht="15" x14ac:dyDescent="0.25">
      <c r="A132" s="243" t="s">
        <v>315</v>
      </c>
      <c r="B132" s="243">
        <v>90</v>
      </c>
      <c r="C132" s="244" t="s">
        <v>316</v>
      </c>
      <c r="D132" s="243" t="s">
        <v>11</v>
      </c>
      <c r="E132" s="245">
        <v>13.6</v>
      </c>
      <c r="F132" s="246">
        <v>11376</v>
      </c>
      <c r="G132" s="236">
        <f t="shared" si="41"/>
        <v>154714</v>
      </c>
      <c r="H132" s="125">
        <v>11376</v>
      </c>
      <c r="I132" s="125">
        <f t="shared" si="40"/>
        <v>154714</v>
      </c>
      <c r="J132" s="124" t="str">
        <f t="shared" si="42"/>
        <v>OK</v>
      </c>
      <c r="K132" s="125"/>
      <c r="L132" s="125">
        <f t="shared" si="43"/>
        <v>0</v>
      </c>
      <c r="M132" s="124" t="str">
        <f t="shared" si="44"/>
        <v>OK</v>
      </c>
      <c r="N132" s="125"/>
      <c r="O132" s="125">
        <f t="shared" ref="O132:O139" si="61">ROUND($E132*N132,0)</f>
        <v>0</v>
      </c>
      <c r="P132" s="124" t="str">
        <f t="shared" ref="P132:P139" si="62">+IF(N132&lt;=$F132,"OK","NO OK")</f>
        <v>OK</v>
      </c>
      <c r="Q132" s="125"/>
      <c r="R132" s="125">
        <f t="shared" ref="R132:R139" si="63">ROUND($E132*Q132,0)</f>
        <v>0</v>
      </c>
      <c r="S132" s="124" t="str">
        <f t="shared" ref="S132:S139" si="64">+IF(Q132&lt;=$F132,"OK","NO OK")</f>
        <v>OK</v>
      </c>
    </row>
    <row r="133" spans="1:19" ht="15" x14ac:dyDescent="0.25">
      <c r="A133" s="243" t="s">
        <v>317</v>
      </c>
      <c r="B133" s="243">
        <v>41</v>
      </c>
      <c r="C133" s="244" t="s">
        <v>318</v>
      </c>
      <c r="D133" s="243" t="s">
        <v>7</v>
      </c>
      <c r="E133" s="245">
        <v>3</v>
      </c>
      <c r="F133" s="246">
        <v>16833</v>
      </c>
      <c r="G133" s="236">
        <f t="shared" si="41"/>
        <v>50499</v>
      </c>
      <c r="H133" s="125">
        <v>16833</v>
      </c>
      <c r="I133" s="125">
        <f t="shared" si="40"/>
        <v>50499</v>
      </c>
      <c r="J133" s="124" t="str">
        <f t="shared" si="42"/>
        <v>OK</v>
      </c>
      <c r="K133" s="125"/>
      <c r="L133" s="125">
        <f t="shared" si="43"/>
        <v>0</v>
      </c>
      <c r="M133" s="124" t="str">
        <f t="shared" si="44"/>
        <v>OK</v>
      </c>
      <c r="N133" s="125"/>
      <c r="O133" s="125">
        <f t="shared" si="61"/>
        <v>0</v>
      </c>
      <c r="P133" s="124" t="str">
        <f t="shared" si="62"/>
        <v>OK</v>
      </c>
      <c r="Q133" s="125"/>
      <c r="R133" s="125">
        <f t="shared" si="63"/>
        <v>0</v>
      </c>
      <c r="S133" s="124" t="str">
        <f t="shared" si="64"/>
        <v>OK</v>
      </c>
    </row>
    <row r="134" spans="1:19" ht="15" x14ac:dyDescent="0.25">
      <c r="A134" s="243" t="s">
        <v>319</v>
      </c>
      <c r="B134" s="243">
        <v>42</v>
      </c>
      <c r="C134" s="244" t="s">
        <v>320</v>
      </c>
      <c r="D134" s="243" t="s">
        <v>7</v>
      </c>
      <c r="E134" s="245">
        <v>7.98</v>
      </c>
      <c r="F134" s="246">
        <v>49905</v>
      </c>
      <c r="G134" s="236">
        <f t="shared" si="41"/>
        <v>398242</v>
      </c>
      <c r="H134" s="125">
        <v>49905</v>
      </c>
      <c r="I134" s="125">
        <f t="shared" si="40"/>
        <v>398242</v>
      </c>
      <c r="J134" s="124" t="str">
        <f t="shared" si="42"/>
        <v>OK</v>
      </c>
      <c r="K134" s="125"/>
      <c r="L134" s="125">
        <f t="shared" si="43"/>
        <v>0</v>
      </c>
      <c r="M134" s="124" t="str">
        <f t="shared" si="44"/>
        <v>OK</v>
      </c>
      <c r="N134" s="125"/>
      <c r="O134" s="125">
        <f t="shared" si="61"/>
        <v>0</v>
      </c>
      <c r="P134" s="124" t="str">
        <f t="shared" si="62"/>
        <v>OK</v>
      </c>
      <c r="Q134" s="125"/>
      <c r="R134" s="125">
        <f t="shared" si="63"/>
        <v>0</v>
      </c>
      <c r="S134" s="124" t="str">
        <f t="shared" si="64"/>
        <v>OK</v>
      </c>
    </row>
    <row r="135" spans="1:19" ht="25.5" x14ac:dyDescent="0.25">
      <c r="A135" s="243" t="s">
        <v>321</v>
      </c>
      <c r="B135" s="243">
        <v>43</v>
      </c>
      <c r="C135" s="244" t="s">
        <v>322</v>
      </c>
      <c r="D135" s="243" t="s">
        <v>7</v>
      </c>
      <c r="E135" s="245">
        <v>7.8</v>
      </c>
      <c r="F135" s="246">
        <v>38559</v>
      </c>
      <c r="G135" s="236">
        <f t="shared" si="41"/>
        <v>300760</v>
      </c>
      <c r="H135" s="125">
        <v>38559</v>
      </c>
      <c r="I135" s="125">
        <f t="shared" si="40"/>
        <v>300760</v>
      </c>
      <c r="J135" s="124" t="str">
        <f t="shared" si="42"/>
        <v>OK</v>
      </c>
      <c r="K135" s="125"/>
      <c r="L135" s="125">
        <f t="shared" si="43"/>
        <v>0</v>
      </c>
      <c r="M135" s="124" t="str">
        <f t="shared" si="44"/>
        <v>OK</v>
      </c>
      <c r="N135" s="125"/>
      <c r="O135" s="125">
        <f t="shared" si="61"/>
        <v>0</v>
      </c>
      <c r="P135" s="124" t="str">
        <f t="shared" si="62"/>
        <v>OK</v>
      </c>
      <c r="Q135" s="125"/>
      <c r="R135" s="125">
        <f t="shared" si="63"/>
        <v>0</v>
      </c>
      <c r="S135" s="124" t="str">
        <f t="shared" si="64"/>
        <v>OK</v>
      </c>
    </row>
    <row r="136" spans="1:19" ht="25.5" x14ac:dyDescent="0.25">
      <c r="A136" s="243" t="s">
        <v>323</v>
      </c>
      <c r="B136" s="243">
        <v>44</v>
      </c>
      <c r="C136" s="244" t="s">
        <v>324</v>
      </c>
      <c r="D136" s="243" t="s">
        <v>7</v>
      </c>
      <c r="E136" s="245">
        <v>33.99</v>
      </c>
      <c r="F136" s="246">
        <v>68815</v>
      </c>
      <c r="G136" s="236">
        <f t="shared" si="41"/>
        <v>2339022</v>
      </c>
      <c r="H136" s="125">
        <v>68815</v>
      </c>
      <c r="I136" s="125">
        <f t="shared" si="40"/>
        <v>2339022</v>
      </c>
      <c r="J136" s="124" t="str">
        <f t="shared" si="42"/>
        <v>OK</v>
      </c>
      <c r="K136" s="125"/>
      <c r="L136" s="125">
        <f t="shared" si="43"/>
        <v>0</v>
      </c>
      <c r="M136" s="124" t="str">
        <f t="shared" si="44"/>
        <v>OK</v>
      </c>
      <c r="N136" s="125"/>
      <c r="O136" s="125">
        <f t="shared" si="61"/>
        <v>0</v>
      </c>
      <c r="P136" s="124" t="str">
        <f t="shared" si="62"/>
        <v>OK</v>
      </c>
      <c r="Q136" s="125"/>
      <c r="R136" s="125">
        <f t="shared" si="63"/>
        <v>0</v>
      </c>
      <c r="S136" s="124" t="str">
        <f t="shared" si="64"/>
        <v>OK</v>
      </c>
    </row>
    <row r="137" spans="1:19" ht="25.5" x14ac:dyDescent="0.25">
      <c r="A137" s="243" t="s">
        <v>325</v>
      </c>
      <c r="B137" s="243">
        <v>45</v>
      </c>
      <c r="C137" s="244" t="s">
        <v>326</v>
      </c>
      <c r="D137" s="243" t="s">
        <v>75</v>
      </c>
      <c r="E137" s="245">
        <v>97.52</v>
      </c>
      <c r="F137" s="246">
        <v>57862</v>
      </c>
      <c r="G137" s="236">
        <f t="shared" si="41"/>
        <v>5642702</v>
      </c>
      <c r="H137" s="125">
        <v>57862</v>
      </c>
      <c r="I137" s="125">
        <f t="shared" ref="I137:I200" si="65">ROUND($E137*H137,0)</f>
        <v>5642702</v>
      </c>
      <c r="J137" s="124" t="str">
        <f t="shared" si="42"/>
        <v>OK</v>
      </c>
      <c r="K137" s="125"/>
      <c r="L137" s="125">
        <f t="shared" si="43"/>
        <v>0</v>
      </c>
      <c r="M137" s="124" t="str">
        <f t="shared" si="44"/>
        <v>OK</v>
      </c>
      <c r="N137" s="125"/>
      <c r="O137" s="125">
        <f t="shared" si="61"/>
        <v>0</v>
      </c>
      <c r="P137" s="124" t="str">
        <f t="shared" si="62"/>
        <v>OK</v>
      </c>
      <c r="Q137" s="125"/>
      <c r="R137" s="125">
        <f t="shared" si="63"/>
        <v>0</v>
      </c>
      <c r="S137" s="124" t="str">
        <f t="shared" si="64"/>
        <v>OK</v>
      </c>
    </row>
    <row r="138" spans="1:19" ht="15" x14ac:dyDescent="0.25">
      <c r="A138" s="243" t="s">
        <v>327</v>
      </c>
      <c r="B138" s="243">
        <v>46</v>
      </c>
      <c r="C138" s="244" t="s">
        <v>328</v>
      </c>
      <c r="D138" s="243" t="s">
        <v>11</v>
      </c>
      <c r="E138" s="245">
        <v>13.91</v>
      </c>
      <c r="F138" s="246">
        <v>74785</v>
      </c>
      <c r="G138" s="236">
        <f t="shared" ref="G138:G201" si="66">ROUND($E138*F138,0)</f>
        <v>1040259</v>
      </c>
      <c r="H138" s="125">
        <v>74785</v>
      </c>
      <c r="I138" s="125">
        <f t="shared" si="65"/>
        <v>1040259</v>
      </c>
      <c r="J138" s="124" t="str">
        <f t="shared" si="42"/>
        <v>OK</v>
      </c>
      <c r="K138" s="125"/>
      <c r="L138" s="125">
        <f t="shared" si="43"/>
        <v>0</v>
      </c>
      <c r="M138" s="124" t="str">
        <f t="shared" si="44"/>
        <v>OK</v>
      </c>
      <c r="N138" s="125"/>
      <c r="O138" s="125">
        <f t="shared" si="61"/>
        <v>0</v>
      </c>
      <c r="P138" s="124" t="str">
        <f t="shared" si="62"/>
        <v>OK</v>
      </c>
      <c r="Q138" s="125"/>
      <c r="R138" s="125">
        <f t="shared" si="63"/>
        <v>0</v>
      </c>
      <c r="S138" s="124" t="str">
        <f t="shared" si="64"/>
        <v>OK</v>
      </c>
    </row>
    <row r="139" spans="1:19" ht="25.5" x14ac:dyDescent="0.25">
      <c r="A139" s="243" t="s">
        <v>329</v>
      </c>
      <c r="B139" s="243">
        <v>47</v>
      </c>
      <c r="C139" s="244" t="s">
        <v>330</v>
      </c>
      <c r="D139" s="243" t="s">
        <v>7</v>
      </c>
      <c r="E139" s="245">
        <v>30</v>
      </c>
      <c r="F139" s="246">
        <v>90244</v>
      </c>
      <c r="G139" s="236">
        <f t="shared" si="66"/>
        <v>2707320</v>
      </c>
      <c r="H139" s="125">
        <v>90244</v>
      </c>
      <c r="I139" s="125">
        <f t="shared" si="65"/>
        <v>2707320</v>
      </c>
      <c r="J139" s="124" t="str">
        <f t="shared" ref="J139:J202" si="67">+IF(H139&lt;=$F139,"OK","NO OK")</f>
        <v>OK</v>
      </c>
      <c r="K139" s="125"/>
      <c r="L139" s="125">
        <f t="shared" ref="L139:L202" si="68">ROUND($E139*K139,0)</f>
        <v>0</v>
      </c>
      <c r="M139" s="124" t="str">
        <f t="shared" ref="M139:M202" si="69">+IF(K139&lt;=$F139,"OK","NO OK")</f>
        <v>OK</v>
      </c>
      <c r="N139" s="125"/>
      <c r="O139" s="125">
        <f t="shared" si="61"/>
        <v>0</v>
      </c>
      <c r="P139" s="124" t="str">
        <f t="shared" si="62"/>
        <v>OK</v>
      </c>
      <c r="Q139" s="125"/>
      <c r="R139" s="125">
        <f t="shared" si="63"/>
        <v>0</v>
      </c>
      <c r="S139" s="124" t="str">
        <f t="shared" si="64"/>
        <v>OK</v>
      </c>
    </row>
    <row r="140" spans="1:19" ht="15" x14ac:dyDescent="0.25">
      <c r="A140" s="278"/>
      <c r="B140" s="278"/>
      <c r="C140" s="277" t="s">
        <v>130</v>
      </c>
      <c r="D140" s="276"/>
      <c r="E140" s="284"/>
      <c r="F140" s="283"/>
      <c r="G140" s="236"/>
      <c r="H140" s="125"/>
      <c r="I140" s="125"/>
      <c r="J140" s="124"/>
      <c r="K140" s="125"/>
      <c r="L140" s="125"/>
      <c r="M140" s="124"/>
      <c r="N140" s="125"/>
      <c r="O140" s="125"/>
      <c r="P140" s="124"/>
      <c r="Q140" s="125"/>
      <c r="R140" s="125"/>
      <c r="S140" s="124"/>
    </row>
    <row r="141" spans="1:19" ht="15" x14ac:dyDescent="0.25">
      <c r="A141" s="276">
        <v>14</v>
      </c>
      <c r="B141" s="276"/>
      <c r="C141" s="277" t="s">
        <v>331</v>
      </c>
      <c r="D141" s="277"/>
      <c r="E141" s="284"/>
      <c r="F141" s="283"/>
      <c r="G141" s="236"/>
      <c r="H141" s="125"/>
      <c r="I141" s="125"/>
      <c r="J141" s="124"/>
      <c r="K141" s="125"/>
      <c r="L141" s="125"/>
      <c r="M141" s="124"/>
      <c r="N141" s="125"/>
      <c r="O141" s="125"/>
      <c r="P141" s="124"/>
      <c r="Q141" s="125"/>
      <c r="R141" s="125"/>
      <c r="S141" s="124"/>
    </row>
    <row r="142" spans="1:19" ht="15" x14ac:dyDescent="0.25">
      <c r="A142" s="243" t="s">
        <v>332</v>
      </c>
      <c r="B142" s="243">
        <v>90</v>
      </c>
      <c r="C142" s="244" t="s">
        <v>316</v>
      </c>
      <c r="D142" s="243" t="s">
        <v>11</v>
      </c>
      <c r="E142" s="245">
        <v>6.27</v>
      </c>
      <c r="F142" s="246">
        <v>11376</v>
      </c>
      <c r="G142" s="236">
        <f t="shared" si="66"/>
        <v>71328</v>
      </c>
      <c r="H142" s="125">
        <v>11376</v>
      </c>
      <c r="I142" s="125">
        <f t="shared" si="65"/>
        <v>71328</v>
      </c>
      <c r="J142" s="124" t="str">
        <f t="shared" si="67"/>
        <v>OK</v>
      </c>
      <c r="K142" s="125"/>
      <c r="L142" s="125">
        <f t="shared" si="68"/>
        <v>0</v>
      </c>
      <c r="M142" s="124" t="str">
        <f t="shared" si="69"/>
        <v>OK</v>
      </c>
      <c r="N142" s="125"/>
      <c r="O142" s="125">
        <f t="shared" ref="O142:O149" si="70">ROUND($E142*N142,0)</f>
        <v>0</v>
      </c>
      <c r="P142" s="124" t="str">
        <f t="shared" ref="P142:P149" si="71">+IF(N142&lt;=$F142,"OK","NO OK")</f>
        <v>OK</v>
      </c>
      <c r="Q142" s="125"/>
      <c r="R142" s="125">
        <f t="shared" ref="R142:R149" si="72">ROUND($E142*Q142,0)</f>
        <v>0</v>
      </c>
      <c r="S142" s="124" t="str">
        <f t="shared" ref="S142:S149" si="73">+IF(Q142&lt;=$F142,"OK","NO OK")</f>
        <v>OK</v>
      </c>
    </row>
    <row r="143" spans="1:19" ht="15" x14ac:dyDescent="0.25">
      <c r="A143" s="243" t="s">
        <v>333</v>
      </c>
      <c r="B143" s="243">
        <v>48</v>
      </c>
      <c r="C143" s="244" t="s">
        <v>334</v>
      </c>
      <c r="D143" s="243" t="s">
        <v>11</v>
      </c>
      <c r="E143" s="245">
        <v>3.13</v>
      </c>
      <c r="F143" s="246">
        <v>743157</v>
      </c>
      <c r="G143" s="236">
        <f t="shared" si="66"/>
        <v>2326081</v>
      </c>
      <c r="H143" s="125">
        <v>743157</v>
      </c>
      <c r="I143" s="125">
        <f t="shared" si="65"/>
        <v>2326081</v>
      </c>
      <c r="J143" s="124" t="str">
        <f t="shared" si="67"/>
        <v>OK</v>
      </c>
      <c r="K143" s="125"/>
      <c r="L143" s="125">
        <f t="shared" si="68"/>
        <v>0</v>
      </c>
      <c r="M143" s="124" t="str">
        <f t="shared" si="69"/>
        <v>OK</v>
      </c>
      <c r="N143" s="125"/>
      <c r="O143" s="125">
        <f t="shared" si="70"/>
        <v>0</v>
      </c>
      <c r="P143" s="124" t="str">
        <f t="shared" si="71"/>
        <v>OK</v>
      </c>
      <c r="Q143" s="125"/>
      <c r="R143" s="125">
        <f t="shared" si="72"/>
        <v>0</v>
      </c>
      <c r="S143" s="124" t="str">
        <f t="shared" si="73"/>
        <v>OK</v>
      </c>
    </row>
    <row r="144" spans="1:19" ht="15" x14ac:dyDescent="0.25">
      <c r="A144" s="243" t="s">
        <v>335</v>
      </c>
      <c r="B144" s="243">
        <v>46</v>
      </c>
      <c r="C144" s="244" t="s">
        <v>328</v>
      </c>
      <c r="D144" s="243" t="s">
        <v>11</v>
      </c>
      <c r="E144" s="245">
        <v>1.56</v>
      </c>
      <c r="F144" s="246">
        <v>74785</v>
      </c>
      <c r="G144" s="236">
        <f t="shared" si="66"/>
        <v>116665</v>
      </c>
      <c r="H144" s="125">
        <v>74785</v>
      </c>
      <c r="I144" s="125">
        <f t="shared" si="65"/>
        <v>116665</v>
      </c>
      <c r="J144" s="124" t="str">
        <f t="shared" si="67"/>
        <v>OK</v>
      </c>
      <c r="K144" s="125"/>
      <c r="L144" s="125">
        <f t="shared" si="68"/>
        <v>0</v>
      </c>
      <c r="M144" s="124" t="str">
        <f t="shared" si="69"/>
        <v>OK</v>
      </c>
      <c r="N144" s="125"/>
      <c r="O144" s="125">
        <f t="shared" si="70"/>
        <v>0</v>
      </c>
      <c r="P144" s="124" t="str">
        <f t="shared" si="71"/>
        <v>OK</v>
      </c>
      <c r="Q144" s="125"/>
      <c r="R144" s="125">
        <f t="shared" si="72"/>
        <v>0</v>
      </c>
      <c r="S144" s="124" t="str">
        <f t="shared" si="73"/>
        <v>OK</v>
      </c>
    </row>
    <row r="145" spans="1:19" ht="15" x14ac:dyDescent="0.25">
      <c r="A145" s="243" t="s">
        <v>336</v>
      </c>
      <c r="B145" s="243">
        <v>49</v>
      </c>
      <c r="C145" s="244" t="s">
        <v>337</v>
      </c>
      <c r="D145" s="243" t="s">
        <v>11</v>
      </c>
      <c r="E145" s="245">
        <v>2.5499999999999998</v>
      </c>
      <c r="F145" s="246">
        <v>826779</v>
      </c>
      <c r="G145" s="236">
        <f t="shared" si="66"/>
        <v>2108286</v>
      </c>
      <c r="H145" s="125">
        <v>826779</v>
      </c>
      <c r="I145" s="125">
        <f t="shared" si="65"/>
        <v>2108286</v>
      </c>
      <c r="J145" s="124" t="str">
        <f t="shared" si="67"/>
        <v>OK</v>
      </c>
      <c r="K145" s="125"/>
      <c r="L145" s="125">
        <f t="shared" si="68"/>
        <v>0</v>
      </c>
      <c r="M145" s="124" t="str">
        <f t="shared" si="69"/>
        <v>OK</v>
      </c>
      <c r="N145" s="125"/>
      <c r="O145" s="125">
        <f t="shared" si="70"/>
        <v>0</v>
      </c>
      <c r="P145" s="124" t="str">
        <f t="shared" si="71"/>
        <v>OK</v>
      </c>
      <c r="Q145" s="125"/>
      <c r="R145" s="125">
        <f t="shared" si="72"/>
        <v>0</v>
      </c>
      <c r="S145" s="124" t="str">
        <f t="shared" si="73"/>
        <v>OK</v>
      </c>
    </row>
    <row r="146" spans="1:19" ht="25.5" x14ac:dyDescent="0.25">
      <c r="A146" s="243" t="s">
        <v>338</v>
      </c>
      <c r="B146" s="243">
        <v>110</v>
      </c>
      <c r="C146" s="244" t="s">
        <v>339</v>
      </c>
      <c r="D146" s="243" t="s">
        <v>11</v>
      </c>
      <c r="E146" s="245">
        <v>0.28999999999999998</v>
      </c>
      <c r="F146" s="246">
        <v>743157</v>
      </c>
      <c r="G146" s="236">
        <f t="shared" si="66"/>
        <v>215516</v>
      </c>
      <c r="H146" s="125">
        <v>743157</v>
      </c>
      <c r="I146" s="125">
        <f t="shared" si="65"/>
        <v>215516</v>
      </c>
      <c r="J146" s="124" t="str">
        <f t="shared" si="67"/>
        <v>OK</v>
      </c>
      <c r="K146" s="125"/>
      <c r="L146" s="125">
        <f t="shared" si="68"/>
        <v>0</v>
      </c>
      <c r="M146" s="124" t="str">
        <f t="shared" si="69"/>
        <v>OK</v>
      </c>
      <c r="N146" s="125"/>
      <c r="O146" s="125">
        <f t="shared" si="70"/>
        <v>0</v>
      </c>
      <c r="P146" s="124" t="str">
        <f t="shared" si="71"/>
        <v>OK</v>
      </c>
      <c r="Q146" s="125"/>
      <c r="R146" s="125">
        <f t="shared" si="72"/>
        <v>0</v>
      </c>
      <c r="S146" s="124" t="str">
        <f t="shared" si="73"/>
        <v>OK</v>
      </c>
    </row>
    <row r="147" spans="1:19" ht="25.5" x14ac:dyDescent="0.25">
      <c r="A147" s="243" t="s">
        <v>340</v>
      </c>
      <c r="B147" s="243">
        <v>111</v>
      </c>
      <c r="C147" s="244" t="s">
        <v>341</v>
      </c>
      <c r="D147" s="243" t="s">
        <v>76</v>
      </c>
      <c r="E147" s="245">
        <v>328.84</v>
      </c>
      <c r="F147" s="246">
        <v>4946</v>
      </c>
      <c r="G147" s="236">
        <f t="shared" si="66"/>
        <v>1626443</v>
      </c>
      <c r="H147" s="125">
        <v>4946</v>
      </c>
      <c r="I147" s="125">
        <f t="shared" si="65"/>
        <v>1626443</v>
      </c>
      <c r="J147" s="124" t="str">
        <f t="shared" si="67"/>
        <v>OK</v>
      </c>
      <c r="K147" s="125"/>
      <c r="L147" s="125">
        <f t="shared" si="68"/>
        <v>0</v>
      </c>
      <c r="M147" s="124" t="str">
        <f t="shared" si="69"/>
        <v>OK</v>
      </c>
      <c r="N147" s="125"/>
      <c r="O147" s="125">
        <f t="shared" si="70"/>
        <v>0</v>
      </c>
      <c r="P147" s="124" t="str">
        <f t="shared" si="71"/>
        <v>OK</v>
      </c>
      <c r="Q147" s="125"/>
      <c r="R147" s="125">
        <f t="shared" si="72"/>
        <v>0</v>
      </c>
      <c r="S147" s="124" t="str">
        <f t="shared" si="73"/>
        <v>OK</v>
      </c>
    </row>
    <row r="148" spans="1:19" ht="15" x14ac:dyDescent="0.25">
      <c r="A148" s="243" t="s">
        <v>342</v>
      </c>
      <c r="B148" s="243">
        <v>112</v>
      </c>
      <c r="C148" s="244" t="s">
        <v>343</v>
      </c>
      <c r="D148" s="243" t="s">
        <v>75</v>
      </c>
      <c r="E148" s="245">
        <v>22.5</v>
      </c>
      <c r="F148" s="246">
        <v>255439</v>
      </c>
      <c r="G148" s="236">
        <f t="shared" si="66"/>
        <v>5747378</v>
      </c>
      <c r="H148" s="125">
        <v>255439</v>
      </c>
      <c r="I148" s="125">
        <f t="shared" si="65"/>
        <v>5747378</v>
      </c>
      <c r="J148" s="124" t="str">
        <f t="shared" si="67"/>
        <v>OK</v>
      </c>
      <c r="K148" s="125"/>
      <c r="L148" s="125">
        <f t="shared" si="68"/>
        <v>0</v>
      </c>
      <c r="M148" s="124" t="str">
        <f t="shared" si="69"/>
        <v>OK</v>
      </c>
      <c r="N148" s="125"/>
      <c r="O148" s="125">
        <f t="shared" si="70"/>
        <v>0</v>
      </c>
      <c r="P148" s="124" t="str">
        <f t="shared" si="71"/>
        <v>OK</v>
      </c>
      <c r="Q148" s="125"/>
      <c r="R148" s="125">
        <f t="shared" si="72"/>
        <v>0</v>
      </c>
      <c r="S148" s="124" t="str">
        <f t="shared" si="73"/>
        <v>OK</v>
      </c>
    </row>
    <row r="149" spans="1:19" ht="15" x14ac:dyDescent="0.25">
      <c r="A149" s="243" t="s">
        <v>344</v>
      </c>
      <c r="B149" s="243"/>
      <c r="C149" s="244" t="s">
        <v>345</v>
      </c>
      <c r="D149" s="243" t="s">
        <v>2</v>
      </c>
      <c r="E149" s="245">
        <v>1</v>
      </c>
      <c r="F149" s="246">
        <v>5300000</v>
      </c>
      <c r="G149" s="236">
        <f t="shared" si="66"/>
        <v>5300000</v>
      </c>
      <c r="H149" s="125">
        <v>5300000</v>
      </c>
      <c r="I149" s="125">
        <f t="shared" si="65"/>
        <v>5300000</v>
      </c>
      <c r="J149" s="124" t="str">
        <f t="shared" si="67"/>
        <v>OK</v>
      </c>
      <c r="K149" s="125"/>
      <c r="L149" s="125">
        <f t="shared" si="68"/>
        <v>0</v>
      </c>
      <c r="M149" s="124" t="str">
        <f t="shared" si="69"/>
        <v>OK</v>
      </c>
      <c r="N149" s="125"/>
      <c r="O149" s="125">
        <f t="shared" si="70"/>
        <v>0</v>
      </c>
      <c r="P149" s="124" t="str">
        <f t="shared" si="71"/>
        <v>OK</v>
      </c>
      <c r="Q149" s="125"/>
      <c r="R149" s="125">
        <f t="shared" si="72"/>
        <v>0</v>
      </c>
      <c r="S149" s="124" t="str">
        <f t="shared" si="73"/>
        <v>OK</v>
      </c>
    </row>
    <row r="150" spans="1:19" ht="15" x14ac:dyDescent="0.25">
      <c r="A150" s="278"/>
      <c r="B150" s="278"/>
      <c r="C150" s="277" t="s">
        <v>130</v>
      </c>
      <c r="D150" s="276"/>
      <c r="E150" s="284"/>
      <c r="F150" s="286"/>
      <c r="G150" s="236"/>
      <c r="H150" s="125"/>
      <c r="I150" s="125"/>
      <c r="J150" s="124"/>
      <c r="K150" s="125"/>
      <c r="L150" s="125"/>
      <c r="M150" s="124"/>
      <c r="N150" s="125"/>
      <c r="O150" s="125"/>
      <c r="P150" s="124"/>
      <c r="Q150" s="125"/>
      <c r="R150" s="125"/>
      <c r="S150" s="124"/>
    </row>
    <row r="151" spans="1:19" ht="15" x14ac:dyDescent="0.25">
      <c r="A151" s="276">
        <v>15</v>
      </c>
      <c r="B151" s="276"/>
      <c r="C151" s="281" t="s">
        <v>346</v>
      </c>
      <c r="D151" s="281"/>
      <c r="E151" s="284"/>
      <c r="F151" s="286"/>
      <c r="G151" s="236"/>
      <c r="H151" s="125"/>
      <c r="I151" s="125"/>
      <c r="J151" s="124"/>
      <c r="K151" s="125"/>
      <c r="L151" s="125"/>
      <c r="M151" s="124"/>
      <c r="N151" s="125"/>
      <c r="O151" s="125"/>
      <c r="P151" s="124"/>
      <c r="Q151" s="125"/>
      <c r="R151" s="125"/>
      <c r="S151" s="124"/>
    </row>
    <row r="152" spans="1:19" ht="15" x14ac:dyDescent="0.25">
      <c r="A152" s="243" t="s">
        <v>347</v>
      </c>
      <c r="B152" s="243">
        <v>60</v>
      </c>
      <c r="C152" s="244" t="s">
        <v>272</v>
      </c>
      <c r="D152" s="243" t="s">
        <v>7</v>
      </c>
      <c r="E152" s="245">
        <v>137.76</v>
      </c>
      <c r="F152" s="246">
        <v>6709</v>
      </c>
      <c r="G152" s="236">
        <f t="shared" si="66"/>
        <v>924232</v>
      </c>
      <c r="H152" s="125">
        <v>6709</v>
      </c>
      <c r="I152" s="125">
        <f t="shared" si="65"/>
        <v>924232</v>
      </c>
      <c r="J152" s="124" t="str">
        <f t="shared" si="67"/>
        <v>OK</v>
      </c>
      <c r="K152" s="125"/>
      <c r="L152" s="125">
        <f t="shared" si="68"/>
        <v>0</v>
      </c>
      <c r="M152" s="124" t="str">
        <f t="shared" si="69"/>
        <v>OK</v>
      </c>
      <c r="N152" s="125"/>
      <c r="O152" s="125">
        <f t="shared" ref="O152:O162" si="74">ROUND($E152*N152,0)</f>
        <v>0</v>
      </c>
      <c r="P152" s="124" t="str">
        <f t="shared" ref="P152:P162" si="75">+IF(N152&lt;=$F152,"OK","NO OK")</f>
        <v>OK</v>
      </c>
      <c r="Q152" s="125"/>
      <c r="R152" s="125">
        <f t="shared" ref="R152:R162" si="76">ROUND($E152*Q152,0)</f>
        <v>0</v>
      </c>
      <c r="S152" s="124" t="str">
        <f t="shared" ref="S152:S162" si="77">+IF(Q152&lt;=$F152,"OK","NO OK")</f>
        <v>OK</v>
      </c>
    </row>
    <row r="153" spans="1:19" ht="15" x14ac:dyDescent="0.25">
      <c r="A153" s="243" t="s">
        <v>348</v>
      </c>
      <c r="B153" s="243">
        <v>90</v>
      </c>
      <c r="C153" s="244" t="s">
        <v>349</v>
      </c>
      <c r="D153" s="243" t="s">
        <v>11</v>
      </c>
      <c r="E153" s="245">
        <v>55.1</v>
      </c>
      <c r="F153" s="246">
        <v>11376</v>
      </c>
      <c r="G153" s="236">
        <f t="shared" si="66"/>
        <v>626818</v>
      </c>
      <c r="H153" s="125">
        <v>11376</v>
      </c>
      <c r="I153" s="125">
        <f t="shared" si="65"/>
        <v>626818</v>
      </c>
      <c r="J153" s="124" t="str">
        <f t="shared" si="67"/>
        <v>OK</v>
      </c>
      <c r="K153" s="125"/>
      <c r="L153" s="125">
        <f t="shared" si="68"/>
        <v>0</v>
      </c>
      <c r="M153" s="124" t="str">
        <f t="shared" si="69"/>
        <v>OK</v>
      </c>
      <c r="N153" s="125"/>
      <c r="O153" s="125">
        <f t="shared" si="74"/>
        <v>0</v>
      </c>
      <c r="P153" s="124" t="str">
        <f t="shared" si="75"/>
        <v>OK</v>
      </c>
      <c r="Q153" s="125"/>
      <c r="R153" s="125">
        <f t="shared" si="76"/>
        <v>0</v>
      </c>
      <c r="S153" s="124" t="str">
        <f t="shared" si="77"/>
        <v>OK</v>
      </c>
    </row>
    <row r="154" spans="1:19" ht="15" x14ac:dyDescent="0.25">
      <c r="A154" s="243" t="s">
        <v>350</v>
      </c>
      <c r="B154" s="243">
        <v>46</v>
      </c>
      <c r="C154" s="244" t="s">
        <v>328</v>
      </c>
      <c r="D154" s="243" t="s">
        <v>11</v>
      </c>
      <c r="E154" s="245">
        <v>27.51</v>
      </c>
      <c r="F154" s="246">
        <v>74785</v>
      </c>
      <c r="G154" s="236">
        <f t="shared" si="66"/>
        <v>2057335</v>
      </c>
      <c r="H154" s="125">
        <v>74785</v>
      </c>
      <c r="I154" s="125">
        <f t="shared" si="65"/>
        <v>2057335</v>
      </c>
      <c r="J154" s="124" t="str">
        <f t="shared" si="67"/>
        <v>OK</v>
      </c>
      <c r="K154" s="125"/>
      <c r="L154" s="125">
        <f t="shared" si="68"/>
        <v>0</v>
      </c>
      <c r="M154" s="124" t="str">
        <f t="shared" si="69"/>
        <v>OK</v>
      </c>
      <c r="N154" s="125"/>
      <c r="O154" s="125">
        <f t="shared" si="74"/>
        <v>0</v>
      </c>
      <c r="P154" s="124" t="str">
        <f t="shared" si="75"/>
        <v>OK</v>
      </c>
      <c r="Q154" s="125"/>
      <c r="R154" s="125">
        <f t="shared" si="76"/>
        <v>0</v>
      </c>
      <c r="S154" s="124" t="str">
        <f t="shared" si="77"/>
        <v>OK</v>
      </c>
    </row>
    <row r="155" spans="1:19" ht="25.5" x14ac:dyDescent="0.25">
      <c r="A155" s="243" t="s">
        <v>351</v>
      </c>
      <c r="B155" s="243">
        <v>76</v>
      </c>
      <c r="C155" s="244" t="s">
        <v>352</v>
      </c>
      <c r="D155" s="243" t="s">
        <v>11</v>
      </c>
      <c r="E155" s="245">
        <v>2.67</v>
      </c>
      <c r="F155" s="246">
        <v>678419</v>
      </c>
      <c r="G155" s="236">
        <f t="shared" si="66"/>
        <v>1811379</v>
      </c>
      <c r="H155" s="125">
        <v>678419</v>
      </c>
      <c r="I155" s="125">
        <f t="shared" si="65"/>
        <v>1811379</v>
      </c>
      <c r="J155" s="124" t="str">
        <f t="shared" si="67"/>
        <v>OK</v>
      </c>
      <c r="K155" s="125"/>
      <c r="L155" s="125">
        <f t="shared" si="68"/>
        <v>0</v>
      </c>
      <c r="M155" s="124" t="str">
        <f t="shared" si="69"/>
        <v>OK</v>
      </c>
      <c r="N155" s="125"/>
      <c r="O155" s="125">
        <f t="shared" si="74"/>
        <v>0</v>
      </c>
      <c r="P155" s="124" t="str">
        <f t="shared" si="75"/>
        <v>OK</v>
      </c>
      <c r="Q155" s="125"/>
      <c r="R155" s="125">
        <f t="shared" si="76"/>
        <v>0</v>
      </c>
      <c r="S155" s="124" t="str">
        <f t="shared" si="77"/>
        <v>OK</v>
      </c>
    </row>
    <row r="156" spans="1:19" ht="25.5" x14ac:dyDescent="0.25">
      <c r="A156" s="243" t="s">
        <v>353</v>
      </c>
      <c r="B156" s="243">
        <v>77</v>
      </c>
      <c r="C156" s="244" t="s">
        <v>354</v>
      </c>
      <c r="D156" s="243" t="s">
        <v>11</v>
      </c>
      <c r="E156" s="245">
        <v>27.55</v>
      </c>
      <c r="F156" s="246">
        <v>678419</v>
      </c>
      <c r="G156" s="236">
        <f t="shared" si="66"/>
        <v>18690443</v>
      </c>
      <c r="H156" s="125">
        <v>678419</v>
      </c>
      <c r="I156" s="125">
        <f t="shared" si="65"/>
        <v>18690443</v>
      </c>
      <c r="J156" s="124" t="str">
        <f t="shared" si="67"/>
        <v>OK</v>
      </c>
      <c r="K156" s="125"/>
      <c r="L156" s="125">
        <f t="shared" si="68"/>
        <v>0</v>
      </c>
      <c r="M156" s="124" t="str">
        <f t="shared" si="69"/>
        <v>OK</v>
      </c>
      <c r="N156" s="125"/>
      <c r="O156" s="125">
        <f t="shared" si="74"/>
        <v>0</v>
      </c>
      <c r="P156" s="124" t="str">
        <f t="shared" si="75"/>
        <v>OK</v>
      </c>
      <c r="Q156" s="125"/>
      <c r="R156" s="125">
        <f t="shared" si="76"/>
        <v>0</v>
      </c>
      <c r="S156" s="124" t="str">
        <f t="shared" si="77"/>
        <v>OK</v>
      </c>
    </row>
    <row r="157" spans="1:19" ht="38.25" x14ac:dyDescent="0.25">
      <c r="A157" s="243" t="s">
        <v>355</v>
      </c>
      <c r="B157" s="243">
        <v>50</v>
      </c>
      <c r="C157" s="244" t="s">
        <v>356</v>
      </c>
      <c r="D157" s="243" t="s">
        <v>75</v>
      </c>
      <c r="E157" s="245">
        <v>23.1</v>
      </c>
      <c r="F157" s="246">
        <v>163787</v>
      </c>
      <c r="G157" s="236">
        <f t="shared" si="66"/>
        <v>3783480</v>
      </c>
      <c r="H157" s="125">
        <v>163787</v>
      </c>
      <c r="I157" s="125">
        <f t="shared" si="65"/>
        <v>3783480</v>
      </c>
      <c r="J157" s="124" t="str">
        <f t="shared" si="67"/>
        <v>OK</v>
      </c>
      <c r="K157" s="125"/>
      <c r="L157" s="125">
        <f t="shared" si="68"/>
        <v>0</v>
      </c>
      <c r="M157" s="124" t="str">
        <f t="shared" si="69"/>
        <v>OK</v>
      </c>
      <c r="N157" s="125"/>
      <c r="O157" s="125">
        <f t="shared" si="74"/>
        <v>0</v>
      </c>
      <c r="P157" s="124" t="str">
        <f t="shared" si="75"/>
        <v>OK</v>
      </c>
      <c r="Q157" s="125"/>
      <c r="R157" s="125">
        <f t="shared" si="76"/>
        <v>0</v>
      </c>
      <c r="S157" s="124" t="str">
        <f t="shared" si="77"/>
        <v>OK</v>
      </c>
    </row>
    <row r="158" spans="1:19" ht="15" x14ac:dyDescent="0.25">
      <c r="A158" s="243" t="s">
        <v>357</v>
      </c>
      <c r="B158" s="243">
        <v>86</v>
      </c>
      <c r="C158" s="244" t="s">
        <v>358</v>
      </c>
      <c r="D158" s="243" t="s">
        <v>76</v>
      </c>
      <c r="E158" s="245">
        <v>888</v>
      </c>
      <c r="F158" s="246">
        <v>4946</v>
      </c>
      <c r="G158" s="236">
        <f t="shared" si="66"/>
        <v>4392048</v>
      </c>
      <c r="H158" s="125">
        <v>4946</v>
      </c>
      <c r="I158" s="125">
        <f t="shared" si="65"/>
        <v>4392048</v>
      </c>
      <c r="J158" s="124" t="str">
        <f t="shared" si="67"/>
        <v>OK</v>
      </c>
      <c r="K158" s="125"/>
      <c r="L158" s="125">
        <f t="shared" si="68"/>
        <v>0</v>
      </c>
      <c r="M158" s="124" t="str">
        <f t="shared" si="69"/>
        <v>OK</v>
      </c>
      <c r="N158" s="125"/>
      <c r="O158" s="125">
        <f t="shared" si="74"/>
        <v>0</v>
      </c>
      <c r="P158" s="124" t="str">
        <f t="shared" si="75"/>
        <v>OK</v>
      </c>
      <c r="Q158" s="125"/>
      <c r="R158" s="125">
        <f t="shared" si="76"/>
        <v>0</v>
      </c>
      <c r="S158" s="124" t="str">
        <f t="shared" si="77"/>
        <v>OK</v>
      </c>
    </row>
    <row r="159" spans="1:19" ht="25.5" x14ac:dyDescent="0.25">
      <c r="A159" s="243" t="s">
        <v>359</v>
      </c>
      <c r="B159" s="243">
        <v>51</v>
      </c>
      <c r="C159" s="244" t="s">
        <v>360</v>
      </c>
      <c r="D159" s="243" t="s">
        <v>7</v>
      </c>
      <c r="E159" s="245">
        <v>6.91</v>
      </c>
      <c r="F159" s="246">
        <v>76996</v>
      </c>
      <c r="G159" s="236">
        <f t="shared" si="66"/>
        <v>532042</v>
      </c>
      <c r="H159" s="125">
        <v>76996</v>
      </c>
      <c r="I159" s="125">
        <f t="shared" si="65"/>
        <v>532042</v>
      </c>
      <c r="J159" s="124" t="str">
        <f t="shared" si="67"/>
        <v>OK</v>
      </c>
      <c r="K159" s="125"/>
      <c r="L159" s="125">
        <f t="shared" si="68"/>
        <v>0</v>
      </c>
      <c r="M159" s="124" t="str">
        <f t="shared" si="69"/>
        <v>OK</v>
      </c>
      <c r="N159" s="125"/>
      <c r="O159" s="125">
        <f t="shared" si="74"/>
        <v>0</v>
      </c>
      <c r="P159" s="124" t="str">
        <f t="shared" si="75"/>
        <v>OK</v>
      </c>
      <c r="Q159" s="125"/>
      <c r="R159" s="125">
        <f t="shared" si="76"/>
        <v>0</v>
      </c>
      <c r="S159" s="124" t="str">
        <f t="shared" si="77"/>
        <v>OK</v>
      </c>
    </row>
    <row r="160" spans="1:19" ht="15" x14ac:dyDescent="0.25">
      <c r="A160" s="243" t="s">
        <v>361</v>
      </c>
      <c r="B160" s="243">
        <v>52</v>
      </c>
      <c r="C160" s="244" t="s">
        <v>362</v>
      </c>
      <c r="D160" s="243" t="s">
        <v>11</v>
      </c>
      <c r="E160" s="245">
        <v>0.65</v>
      </c>
      <c r="F160" s="246">
        <v>721402</v>
      </c>
      <c r="G160" s="236">
        <f t="shared" si="66"/>
        <v>468911</v>
      </c>
      <c r="H160" s="125">
        <v>721402</v>
      </c>
      <c r="I160" s="125">
        <f t="shared" si="65"/>
        <v>468911</v>
      </c>
      <c r="J160" s="124" t="str">
        <f t="shared" si="67"/>
        <v>OK</v>
      </c>
      <c r="K160" s="125"/>
      <c r="L160" s="125">
        <f t="shared" si="68"/>
        <v>0</v>
      </c>
      <c r="M160" s="124" t="str">
        <f t="shared" si="69"/>
        <v>OK</v>
      </c>
      <c r="N160" s="125"/>
      <c r="O160" s="125">
        <f t="shared" si="74"/>
        <v>0</v>
      </c>
      <c r="P160" s="124" t="str">
        <f t="shared" si="75"/>
        <v>OK</v>
      </c>
      <c r="Q160" s="125"/>
      <c r="R160" s="125">
        <f t="shared" si="76"/>
        <v>0</v>
      </c>
      <c r="S160" s="124" t="str">
        <f t="shared" si="77"/>
        <v>OK</v>
      </c>
    </row>
    <row r="161" spans="1:19" ht="15" x14ac:dyDescent="0.25">
      <c r="A161" s="243" t="s">
        <v>363</v>
      </c>
      <c r="B161" s="243"/>
      <c r="C161" s="244" t="s">
        <v>364</v>
      </c>
      <c r="D161" s="243" t="s">
        <v>2</v>
      </c>
      <c r="E161" s="245">
        <v>36</v>
      </c>
      <c r="F161" s="246">
        <v>187851</v>
      </c>
      <c r="G161" s="236">
        <f t="shared" si="66"/>
        <v>6762636</v>
      </c>
      <c r="H161" s="125">
        <v>187851</v>
      </c>
      <c r="I161" s="125">
        <f t="shared" si="65"/>
        <v>6762636</v>
      </c>
      <c r="J161" s="124" t="str">
        <f t="shared" si="67"/>
        <v>OK</v>
      </c>
      <c r="K161" s="125"/>
      <c r="L161" s="125">
        <f t="shared" si="68"/>
        <v>0</v>
      </c>
      <c r="M161" s="124" t="str">
        <f t="shared" si="69"/>
        <v>OK</v>
      </c>
      <c r="N161" s="125"/>
      <c r="O161" s="125">
        <f t="shared" si="74"/>
        <v>0</v>
      </c>
      <c r="P161" s="124" t="str">
        <f t="shared" si="75"/>
        <v>OK</v>
      </c>
      <c r="Q161" s="125"/>
      <c r="R161" s="125">
        <f t="shared" si="76"/>
        <v>0</v>
      </c>
      <c r="S161" s="124" t="str">
        <f t="shared" si="77"/>
        <v>OK</v>
      </c>
    </row>
    <row r="162" spans="1:19" ht="25.5" x14ac:dyDescent="0.25">
      <c r="A162" s="243" t="s">
        <v>365</v>
      </c>
      <c r="B162" s="243">
        <v>6</v>
      </c>
      <c r="C162" s="244" t="s">
        <v>129</v>
      </c>
      <c r="D162" s="243" t="s">
        <v>11</v>
      </c>
      <c r="E162" s="245">
        <v>71.64</v>
      </c>
      <c r="F162" s="246">
        <v>24780</v>
      </c>
      <c r="G162" s="236">
        <f t="shared" si="66"/>
        <v>1775239</v>
      </c>
      <c r="H162" s="125">
        <v>24780</v>
      </c>
      <c r="I162" s="125">
        <f t="shared" si="65"/>
        <v>1775239</v>
      </c>
      <c r="J162" s="124" t="str">
        <f t="shared" si="67"/>
        <v>OK</v>
      </c>
      <c r="K162" s="125"/>
      <c r="L162" s="125">
        <f t="shared" si="68"/>
        <v>0</v>
      </c>
      <c r="M162" s="124" t="str">
        <f t="shared" si="69"/>
        <v>OK</v>
      </c>
      <c r="N162" s="125"/>
      <c r="O162" s="125">
        <f t="shared" si="74"/>
        <v>0</v>
      </c>
      <c r="P162" s="124" t="str">
        <f t="shared" si="75"/>
        <v>OK</v>
      </c>
      <c r="Q162" s="125"/>
      <c r="R162" s="125">
        <f t="shared" si="76"/>
        <v>0</v>
      </c>
      <c r="S162" s="124" t="str">
        <f t="shared" si="77"/>
        <v>OK</v>
      </c>
    </row>
    <row r="163" spans="1:19" ht="15" x14ac:dyDescent="0.25">
      <c r="A163" s="278"/>
      <c r="B163" s="278"/>
      <c r="C163" s="277" t="s">
        <v>130</v>
      </c>
      <c r="D163" s="276"/>
      <c r="E163" s="284"/>
      <c r="F163" s="286"/>
      <c r="G163" s="236"/>
      <c r="H163" s="125"/>
      <c r="I163" s="125"/>
      <c r="J163" s="124"/>
      <c r="K163" s="125"/>
      <c r="L163" s="125"/>
      <c r="M163" s="124"/>
      <c r="N163" s="125"/>
      <c r="O163" s="125"/>
      <c r="P163" s="124"/>
      <c r="Q163" s="125"/>
      <c r="R163" s="125"/>
      <c r="S163" s="124"/>
    </row>
    <row r="164" spans="1:19" ht="15" x14ac:dyDescent="0.25">
      <c r="A164" s="287" t="s">
        <v>366</v>
      </c>
      <c r="B164" s="287"/>
      <c r="C164" s="288" t="s">
        <v>367</v>
      </c>
      <c r="D164" s="288"/>
      <c r="E164" s="289"/>
      <c r="F164" s="290"/>
      <c r="G164" s="236"/>
      <c r="H164" s="125"/>
      <c r="I164" s="125"/>
      <c r="J164" s="124"/>
      <c r="K164" s="125"/>
      <c r="L164" s="125"/>
      <c r="M164" s="124"/>
      <c r="N164" s="125"/>
      <c r="O164" s="125"/>
      <c r="P164" s="124"/>
      <c r="Q164" s="125"/>
      <c r="R164" s="125"/>
      <c r="S164" s="124"/>
    </row>
    <row r="165" spans="1:19" ht="15" x14ac:dyDescent="0.25">
      <c r="A165" s="291">
        <v>16</v>
      </c>
      <c r="B165" s="291"/>
      <c r="C165" s="292" t="s">
        <v>368</v>
      </c>
      <c r="D165" s="292"/>
      <c r="E165" s="293"/>
      <c r="F165" s="294"/>
      <c r="G165" s="236"/>
      <c r="H165" s="125"/>
      <c r="I165" s="125"/>
      <c r="J165" s="124"/>
      <c r="K165" s="125"/>
      <c r="L165" s="125"/>
      <c r="M165" s="124"/>
      <c r="N165" s="125"/>
      <c r="O165" s="125"/>
      <c r="P165" s="124"/>
      <c r="Q165" s="125"/>
      <c r="R165" s="125"/>
      <c r="S165" s="124"/>
    </row>
    <row r="166" spans="1:19" ht="15" x14ac:dyDescent="0.25">
      <c r="A166" s="243" t="s">
        <v>369</v>
      </c>
      <c r="B166" s="243">
        <v>60</v>
      </c>
      <c r="C166" s="244" t="s">
        <v>272</v>
      </c>
      <c r="D166" s="243" t="s">
        <v>7</v>
      </c>
      <c r="E166" s="245">
        <v>42.44</v>
      </c>
      <c r="F166" s="246">
        <v>6709</v>
      </c>
      <c r="G166" s="236">
        <f t="shared" si="66"/>
        <v>284730</v>
      </c>
      <c r="H166" s="125">
        <v>6709</v>
      </c>
      <c r="I166" s="125">
        <f t="shared" si="65"/>
        <v>284730</v>
      </c>
      <c r="J166" s="124" t="str">
        <f t="shared" si="67"/>
        <v>OK</v>
      </c>
      <c r="K166" s="125"/>
      <c r="L166" s="125">
        <f t="shared" si="68"/>
        <v>0</v>
      </c>
      <c r="M166" s="124" t="str">
        <f t="shared" si="69"/>
        <v>OK</v>
      </c>
      <c r="N166" s="125"/>
      <c r="O166" s="125">
        <f t="shared" ref="O166:O172" si="78">ROUND($E166*N166,0)</f>
        <v>0</v>
      </c>
      <c r="P166" s="124" t="str">
        <f t="shared" ref="P166:P172" si="79">+IF(N166&lt;=$F166,"OK","NO OK")</f>
        <v>OK</v>
      </c>
      <c r="Q166" s="125"/>
      <c r="R166" s="125">
        <f t="shared" ref="R166:R172" si="80">ROUND($E166*Q166,0)</f>
        <v>0</v>
      </c>
      <c r="S166" s="124" t="str">
        <f t="shared" ref="S166:S172" si="81">+IF(Q166&lt;=$F166,"OK","NO OK")</f>
        <v>OK</v>
      </c>
    </row>
    <row r="167" spans="1:19" ht="15" x14ac:dyDescent="0.25">
      <c r="A167" s="243" t="s">
        <v>370</v>
      </c>
      <c r="B167" s="243">
        <v>78</v>
      </c>
      <c r="C167" s="244" t="s">
        <v>371</v>
      </c>
      <c r="D167" s="243" t="s">
        <v>11</v>
      </c>
      <c r="E167" s="245">
        <v>3.26</v>
      </c>
      <c r="F167" s="246">
        <v>678419</v>
      </c>
      <c r="G167" s="236">
        <f t="shared" si="66"/>
        <v>2211646</v>
      </c>
      <c r="H167" s="125">
        <v>678419</v>
      </c>
      <c r="I167" s="125">
        <f t="shared" si="65"/>
        <v>2211646</v>
      </c>
      <c r="J167" s="124" t="str">
        <f t="shared" si="67"/>
        <v>OK</v>
      </c>
      <c r="K167" s="125"/>
      <c r="L167" s="125">
        <f t="shared" si="68"/>
        <v>0</v>
      </c>
      <c r="M167" s="124" t="str">
        <f t="shared" si="69"/>
        <v>OK</v>
      </c>
      <c r="N167" s="125"/>
      <c r="O167" s="125">
        <f t="shared" si="78"/>
        <v>0</v>
      </c>
      <c r="P167" s="124" t="str">
        <f t="shared" si="79"/>
        <v>OK</v>
      </c>
      <c r="Q167" s="125"/>
      <c r="R167" s="125">
        <f t="shared" si="80"/>
        <v>0</v>
      </c>
      <c r="S167" s="124" t="str">
        <f t="shared" si="81"/>
        <v>OK</v>
      </c>
    </row>
    <row r="168" spans="1:19" ht="15" x14ac:dyDescent="0.25">
      <c r="A168" s="243" t="s">
        <v>372</v>
      </c>
      <c r="B168" s="243">
        <v>90</v>
      </c>
      <c r="C168" s="244" t="s">
        <v>316</v>
      </c>
      <c r="D168" s="243" t="s">
        <v>11</v>
      </c>
      <c r="E168" s="245">
        <v>4.16</v>
      </c>
      <c r="F168" s="246">
        <v>11376</v>
      </c>
      <c r="G168" s="236">
        <f t="shared" si="66"/>
        <v>47324</v>
      </c>
      <c r="H168" s="125">
        <v>11376</v>
      </c>
      <c r="I168" s="125">
        <f t="shared" si="65"/>
        <v>47324</v>
      </c>
      <c r="J168" s="124" t="str">
        <f t="shared" si="67"/>
        <v>OK</v>
      </c>
      <c r="K168" s="125"/>
      <c r="L168" s="125">
        <f t="shared" si="68"/>
        <v>0</v>
      </c>
      <c r="M168" s="124" t="str">
        <f t="shared" si="69"/>
        <v>OK</v>
      </c>
      <c r="N168" s="125"/>
      <c r="O168" s="125">
        <f t="shared" si="78"/>
        <v>0</v>
      </c>
      <c r="P168" s="124" t="str">
        <f t="shared" si="79"/>
        <v>OK</v>
      </c>
      <c r="Q168" s="125"/>
      <c r="R168" s="125">
        <f t="shared" si="80"/>
        <v>0</v>
      </c>
      <c r="S168" s="124" t="str">
        <f t="shared" si="81"/>
        <v>OK</v>
      </c>
    </row>
    <row r="169" spans="1:19" ht="15" x14ac:dyDescent="0.25">
      <c r="A169" s="243" t="s">
        <v>373</v>
      </c>
      <c r="B169" s="243">
        <v>40</v>
      </c>
      <c r="C169" s="244" t="s">
        <v>285</v>
      </c>
      <c r="D169" s="243" t="s">
        <v>7</v>
      </c>
      <c r="E169" s="245">
        <v>9.24</v>
      </c>
      <c r="F169" s="246">
        <v>30113</v>
      </c>
      <c r="G169" s="236">
        <f t="shared" si="66"/>
        <v>278244</v>
      </c>
      <c r="H169" s="125">
        <v>30113</v>
      </c>
      <c r="I169" s="125">
        <f t="shared" si="65"/>
        <v>278244</v>
      </c>
      <c r="J169" s="124" t="str">
        <f t="shared" si="67"/>
        <v>OK</v>
      </c>
      <c r="K169" s="125"/>
      <c r="L169" s="125">
        <f t="shared" si="68"/>
        <v>0</v>
      </c>
      <c r="M169" s="124" t="str">
        <f t="shared" si="69"/>
        <v>OK</v>
      </c>
      <c r="N169" s="125"/>
      <c r="O169" s="125">
        <f t="shared" si="78"/>
        <v>0</v>
      </c>
      <c r="P169" s="124" t="str">
        <f t="shared" si="79"/>
        <v>OK</v>
      </c>
      <c r="Q169" s="125"/>
      <c r="R169" s="125">
        <f t="shared" si="80"/>
        <v>0</v>
      </c>
      <c r="S169" s="124" t="str">
        <f t="shared" si="81"/>
        <v>OK</v>
      </c>
    </row>
    <row r="170" spans="1:19" ht="15" x14ac:dyDescent="0.25">
      <c r="A170" s="243" t="s">
        <v>374</v>
      </c>
      <c r="B170" s="243">
        <v>87</v>
      </c>
      <c r="C170" s="244" t="s">
        <v>375</v>
      </c>
      <c r="D170" s="243" t="s">
        <v>76</v>
      </c>
      <c r="E170" s="245">
        <v>205.94</v>
      </c>
      <c r="F170" s="246">
        <v>4946</v>
      </c>
      <c r="G170" s="236">
        <f t="shared" si="66"/>
        <v>1018579</v>
      </c>
      <c r="H170" s="125">
        <v>4946</v>
      </c>
      <c r="I170" s="125">
        <f t="shared" si="65"/>
        <v>1018579</v>
      </c>
      <c r="J170" s="124" t="str">
        <f t="shared" si="67"/>
        <v>OK</v>
      </c>
      <c r="K170" s="125"/>
      <c r="L170" s="125">
        <f t="shared" si="68"/>
        <v>0</v>
      </c>
      <c r="M170" s="124" t="str">
        <f t="shared" si="69"/>
        <v>OK</v>
      </c>
      <c r="N170" s="125"/>
      <c r="O170" s="125">
        <f t="shared" si="78"/>
        <v>0</v>
      </c>
      <c r="P170" s="124" t="str">
        <f t="shared" si="79"/>
        <v>OK</v>
      </c>
      <c r="Q170" s="125"/>
      <c r="R170" s="125">
        <f t="shared" si="80"/>
        <v>0</v>
      </c>
      <c r="S170" s="124" t="str">
        <f t="shared" si="81"/>
        <v>OK</v>
      </c>
    </row>
    <row r="171" spans="1:19" ht="25.5" x14ac:dyDescent="0.25">
      <c r="A171" s="243" t="s">
        <v>376</v>
      </c>
      <c r="B171" s="243">
        <v>79</v>
      </c>
      <c r="C171" s="244" t="s">
        <v>377</v>
      </c>
      <c r="D171" s="243" t="s">
        <v>11</v>
      </c>
      <c r="E171" s="245">
        <v>8.49</v>
      </c>
      <c r="F171" s="246">
        <v>706597</v>
      </c>
      <c r="G171" s="236">
        <f t="shared" si="66"/>
        <v>5999009</v>
      </c>
      <c r="H171" s="125">
        <v>706597</v>
      </c>
      <c r="I171" s="125">
        <f t="shared" si="65"/>
        <v>5999009</v>
      </c>
      <c r="J171" s="124" t="str">
        <f t="shared" si="67"/>
        <v>OK</v>
      </c>
      <c r="K171" s="125"/>
      <c r="L171" s="125">
        <f t="shared" si="68"/>
        <v>0</v>
      </c>
      <c r="M171" s="124" t="str">
        <f t="shared" si="69"/>
        <v>OK</v>
      </c>
      <c r="N171" s="125"/>
      <c r="O171" s="125">
        <f t="shared" si="78"/>
        <v>0</v>
      </c>
      <c r="P171" s="124" t="str">
        <f t="shared" si="79"/>
        <v>OK</v>
      </c>
      <c r="Q171" s="125"/>
      <c r="R171" s="125">
        <f t="shared" si="80"/>
        <v>0</v>
      </c>
      <c r="S171" s="124" t="str">
        <f t="shared" si="81"/>
        <v>OK</v>
      </c>
    </row>
    <row r="172" spans="1:19" ht="38.25" x14ac:dyDescent="0.25">
      <c r="A172" s="243" t="s">
        <v>378</v>
      </c>
      <c r="B172" s="243">
        <v>50</v>
      </c>
      <c r="C172" s="244" t="s">
        <v>356</v>
      </c>
      <c r="D172" s="243" t="s">
        <v>75</v>
      </c>
      <c r="E172" s="245">
        <v>6</v>
      </c>
      <c r="F172" s="246">
        <v>163787</v>
      </c>
      <c r="G172" s="236">
        <f t="shared" si="66"/>
        <v>982722</v>
      </c>
      <c r="H172" s="125">
        <v>163787</v>
      </c>
      <c r="I172" s="125">
        <f t="shared" si="65"/>
        <v>982722</v>
      </c>
      <c r="J172" s="124" t="str">
        <f t="shared" si="67"/>
        <v>OK</v>
      </c>
      <c r="K172" s="125"/>
      <c r="L172" s="125">
        <f t="shared" si="68"/>
        <v>0</v>
      </c>
      <c r="M172" s="124" t="str">
        <f t="shared" si="69"/>
        <v>OK</v>
      </c>
      <c r="N172" s="125"/>
      <c r="O172" s="125">
        <f t="shared" si="78"/>
        <v>0</v>
      </c>
      <c r="P172" s="124" t="str">
        <f t="shared" si="79"/>
        <v>OK</v>
      </c>
      <c r="Q172" s="125"/>
      <c r="R172" s="125">
        <f t="shared" si="80"/>
        <v>0</v>
      </c>
      <c r="S172" s="124" t="str">
        <f t="shared" si="81"/>
        <v>OK</v>
      </c>
    </row>
    <row r="173" spans="1:19" ht="15" x14ac:dyDescent="0.25">
      <c r="A173" s="295"/>
      <c r="B173" s="295"/>
      <c r="C173" s="296" t="s">
        <v>130</v>
      </c>
      <c r="D173" s="295"/>
      <c r="E173" s="297"/>
      <c r="F173" s="298"/>
      <c r="G173" s="236"/>
      <c r="H173" s="125"/>
      <c r="I173" s="125"/>
      <c r="J173" s="124"/>
      <c r="K173" s="125"/>
      <c r="L173" s="125"/>
      <c r="M173" s="124"/>
      <c r="N173" s="125"/>
      <c r="O173" s="125"/>
      <c r="P173" s="124"/>
      <c r="Q173" s="125"/>
      <c r="R173" s="125"/>
      <c r="S173" s="124"/>
    </row>
    <row r="174" spans="1:19" ht="15" x14ac:dyDescent="0.25">
      <c r="A174" s="291" t="s">
        <v>379</v>
      </c>
      <c r="B174" s="291"/>
      <c r="C174" s="296" t="s">
        <v>380</v>
      </c>
      <c r="D174" s="291"/>
      <c r="E174" s="299"/>
      <c r="F174" s="294"/>
      <c r="G174" s="236"/>
      <c r="H174" s="125"/>
      <c r="I174" s="125"/>
      <c r="J174" s="124"/>
      <c r="K174" s="125"/>
      <c r="L174" s="125"/>
      <c r="M174" s="124"/>
      <c r="N174" s="125"/>
      <c r="O174" s="125"/>
      <c r="P174" s="124"/>
      <c r="Q174" s="125"/>
      <c r="R174" s="125"/>
      <c r="S174" s="124"/>
    </row>
    <row r="175" spans="1:19" ht="25.5" x14ac:dyDescent="0.25">
      <c r="A175" s="300" t="s">
        <v>381</v>
      </c>
      <c r="B175" s="300">
        <v>53</v>
      </c>
      <c r="C175" s="301" t="s">
        <v>382</v>
      </c>
      <c r="D175" s="300" t="s">
        <v>75</v>
      </c>
      <c r="E175" s="245">
        <v>176.7</v>
      </c>
      <c r="F175" s="246">
        <v>7530</v>
      </c>
      <c r="G175" s="236">
        <f t="shared" si="66"/>
        <v>1330551</v>
      </c>
      <c r="H175" s="125">
        <v>7530</v>
      </c>
      <c r="I175" s="125">
        <f t="shared" si="65"/>
        <v>1330551</v>
      </c>
      <c r="J175" s="124" t="str">
        <f t="shared" si="67"/>
        <v>OK</v>
      </c>
      <c r="K175" s="125"/>
      <c r="L175" s="125">
        <f t="shared" si="68"/>
        <v>0</v>
      </c>
      <c r="M175" s="124" t="str">
        <f t="shared" si="69"/>
        <v>OK</v>
      </c>
      <c r="N175" s="125"/>
      <c r="O175" s="125">
        <f t="shared" ref="O175:O182" si="82">ROUND($E175*N175,0)</f>
        <v>0</v>
      </c>
      <c r="P175" s="124" t="str">
        <f t="shared" ref="P175:P182" si="83">+IF(N175&lt;=$F175,"OK","NO OK")</f>
        <v>OK</v>
      </c>
      <c r="Q175" s="125"/>
      <c r="R175" s="125">
        <f t="shared" ref="R175:R182" si="84">ROUND($E175*Q175,0)</f>
        <v>0</v>
      </c>
      <c r="S175" s="124" t="str">
        <f t="shared" ref="S175:S182" si="85">+IF(Q175&lt;=$F175,"OK","NO OK")</f>
        <v>OK</v>
      </c>
    </row>
    <row r="176" spans="1:19" ht="25.5" x14ac:dyDescent="0.25">
      <c r="A176" s="243" t="s">
        <v>383</v>
      </c>
      <c r="B176" s="243">
        <v>54</v>
      </c>
      <c r="C176" s="244" t="s">
        <v>384</v>
      </c>
      <c r="D176" s="243" t="s">
        <v>7</v>
      </c>
      <c r="E176" s="245">
        <v>641.05999999999995</v>
      </c>
      <c r="F176" s="246">
        <v>44409</v>
      </c>
      <c r="G176" s="236">
        <f t="shared" si="66"/>
        <v>28468834</v>
      </c>
      <c r="H176" s="125">
        <v>44409</v>
      </c>
      <c r="I176" s="125">
        <f t="shared" si="65"/>
        <v>28468834</v>
      </c>
      <c r="J176" s="124" t="str">
        <f t="shared" si="67"/>
        <v>OK</v>
      </c>
      <c r="K176" s="125"/>
      <c r="L176" s="125">
        <f t="shared" si="68"/>
        <v>0</v>
      </c>
      <c r="M176" s="124" t="str">
        <f t="shared" si="69"/>
        <v>OK</v>
      </c>
      <c r="N176" s="125"/>
      <c r="O176" s="125">
        <f t="shared" si="82"/>
        <v>0</v>
      </c>
      <c r="P176" s="124" t="str">
        <f t="shared" si="83"/>
        <v>OK</v>
      </c>
      <c r="Q176" s="125"/>
      <c r="R176" s="125">
        <f t="shared" si="84"/>
        <v>0</v>
      </c>
      <c r="S176" s="124" t="str">
        <f t="shared" si="85"/>
        <v>OK</v>
      </c>
    </row>
    <row r="177" spans="1:19" ht="15" x14ac:dyDescent="0.25">
      <c r="A177" s="243" t="s">
        <v>385</v>
      </c>
      <c r="B177" s="243">
        <v>55</v>
      </c>
      <c r="C177" s="244" t="s">
        <v>386</v>
      </c>
      <c r="D177" s="243" t="s">
        <v>11</v>
      </c>
      <c r="E177" s="245">
        <v>96.16</v>
      </c>
      <c r="F177" s="246">
        <v>61009</v>
      </c>
      <c r="G177" s="236">
        <f t="shared" si="66"/>
        <v>5866625</v>
      </c>
      <c r="H177" s="125">
        <v>61009</v>
      </c>
      <c r="I177" s="125">
        <f t="shared" si="65"/>
        <v>5866625</v>
      </c>
      <c r="J177" s="124" t="str">
        <f t="shared" si="67"/>
        <v>OK</v>
      </c>
      <c r="K177" s="125"/>
      <c r="L177" s="125">
        <f t="shared" si="68"/>
        <v>0</v>
      </c>
      <c r="M177" s="124" t="str">
        <f t="shared" si="69"/>
        <v>OK</v>
      </c>
      <c r="N177" s="125"/>
      <c r="O177" s="125">
        <f t="shared" si="82"/>
        <v>0</v>
      </c>
      <c r="P177" s="124" t="str">
        <f t="shared" si="83"/>
        <v>OK</v>
      </c>
      <c r="Q177" s="125"/>
      <c r="R177" s="125">
        <f t="shared" si="84"/>
        <v>0</v>
      </c>
      <c r="S177" s="124" t="str">
        <f t="shared" si="85"/>
        <v>OK</v>
      </c>
    </row>
    <row r="178" spans="1:19" ht="25.5" x14ac:dyDescent="0.25">
      <c r="A178" s="243" t="s">
        <v>387</v>
      </c>
      <c r="B178" s="243">
        <v>108</v>
      </c>
      <c r="C178" s="244" t="s">
        <v>388</v>
      </c>
      <c r="D178" s="243" t="s">
        <v>75</v>
      </c>
      <c r="E178" s="245">
        <v>176.7</v>
      </c>
      <c r="F178" s="246">
        <v>123711</v>
      </c>
      <c r="G178" s="236">
        <f t="shared" si="66"/>
        <v>21859734</v>
      </c>
      <c r="H178" s="125">
        <v>123711</v>
      </c>
      <c r="I178" s="125">
        <f t="shared" si="65"/>
        <v>21859734</v>
      </c>
      <c r="J178" s="124" t="str">
        <f t="shared" si="67"/>
        <v>OK</v>
      </c>
      <c r="K178" s="125"/>
      <c r="L178" s="125">
        <f t="shared" si="68"/>
        <v>0</v>
      </c>
      <c r="M178" s="124" t="str">
        <f t="shared" si="69"/>
        <v>OK</v>
      </c>
      <c r="N178" s="125"/>
      <c r="O178" s="125">
        <f t="shared" si="82"/>
        <v>0</v>
      </c>
      <c r="P178" s="124" t="str">
        <f t="shared" si="83"/>
        <v>OK</v>
      </c>
      <c r="Q178" s="125"/>
      <c r="R178" s="125">
        <f t="shared" si="84"/>
        <v>0</v>
      </c>
      <c r="S178" s="124" t="str">
        <f t="shared" si="85"/>
        <v>OK</v>
      </c>
    </row>
    <row r="179" spans="1:19" ht="25.5" x14ac:dyDescent="0.25">
      <c r="A179" s="243" t="s">
        <v>389</v>
      </c>
      <c r="B179" s="243">
        <v>81</v>
      </c>
      <c r="C179" s="244" t="s">
        <v>390</v>
      </c>
      <c r="D179" s="243" t="s">
        <v>11</v>
      </c>
      <c r="E179" s="245">
        <v>64.11</v>
      </c>
      <c r="F179" s="246">
        <v>706852</v>
      </c>
      <c r="G179" s="236">
        <f t="shared" si="66"/>
        <v>45316282</v>
      </c>
      <c r="H179" s="125">
        <v>706852</v>
      </c>
      <c r="I179" s="125">
        <f t="shared" si="65"/>
        <v>45316282</v>
      </c>
      <c r="J179" s="124" t="str">
        <f t="shared" si="67"/>
        <v>OK</v>
      </c>
      <c r="K179" s="125"/>
      <c r="L179" s="125">
        <f t="shared" si="68"/>
        <v>0</v>
      </c>
      <c r="M179" s="124" t="str">
        <f t="shared" si="69"/>
        <v>OK</v>
      </c>
      <c r="N179" s="125"/>
      <c r="O179" s="125">
        <f t="shared" si="82"/>
        <v>0</v>
      </c>
      <c r="P179" s="124" t="str">
        <f t="shared" si="83"/>
        <v>OK</v>
      </c>
      <c r="Q179" s="125"/>
      <c r="R179" s="125">
        <f t="shared" si="84"/>
        <v>0</v>
      </c>
      <c r="S179" s="124" t="str">
        <f t="shared" si="85"/>
        <v>OK</v>
      </c>
    </row>
    <row r="180" spans="1:19" ht="15" x14ac:dyDescent="0.25">
      <c r="A180" s="243" t="s">
        <v>391</v>
      </c>
      <c r="B180" s="243">
        <v>56</v>
      </c>
      <c r="C180" s="244" t="s">
        <v>310</v>
      </c>
      <c r="D180" s="243" t="s">
        <v>7</v>
      </c>
      <c r="E180" s="245">
        <v>641.07000000000005</v>
      </c>
      <c r="F180" s="246">
        <v>8043</v>
      </c>
      <c r="G180" s="236">
        <f t="shared" si="66"/>
        <v>5156126</v>
      </c>
      <c r="H180" s="125">
        <v>8043</v>
      </c>
      <c r="I180" s="125">
        <f t="shared" si="65"/>
        <v>5156126</v>
      </c>
      <c r="J180" s="124" t="str">
        <f t="shared" si="67"/>
        <v>OK</v>
      </c>
      <c r="K180" s="125"/>
      <c r="L180" s="125">
        <f t="shared" si="68"/>
        <v>0</v>
      </c>
      <c r="M180" s="124" t="str">
        <f t="shared" si="69"/>
        <v>OK</v>
      </c>
      <c r="N180" s="125"/>
      <c r="O180" s="125">
        <f t="shared" si="82"/>
        <v>0</v>
      </c>
      <c r="P180" s="124" t="str">
        <f t="shared" si="83"/>
        <v>OK</v>
      </c>
      <c r="Q180" s="125"/>
      <c r="R180" s="125">
        <f t="shared" si="84"/>
        <v>0</v>
      </c>
      <c r="S180" s="124" t="str">
        <f t="shared" si="85"/>
        <v>OK</v>
      </c>
    </row>
    <row r="181" spans="1:19" ht="25.5" x14ac:dyDescent="0.25">
      <c r="A181" s="243" t="s">
        <v>392</v>
      </c>
      <c r="B181" s="243">
        <v>57</v>
      </c>
      <c r="C181" s="244" t="s">
        <v>393</v>
      </c>
      <c r="D181" s="243" t="s">
        <v>11</v>
      </c>
      <c r="E181" s="245">
        <v>1.58</v>
      </c>
      <c r="F181" s="246">
        <v>728527</v>
      </c>
      <c r="G181" s="236">
        <f t="shared" si="66"/>
        <v>1151073</v>
      </c>
      <c r="H181" s="125">
        <v>728527</v>
      </c>
      <c r="I181" s="125">
        <f t="shared" si="65"/>
        <v>1151073</v>
      </c>
      <c r="J181" s="124" t="str">
        <f t="shared" si="67"/>
        <v>OK</v>
      </c>
      <c r="K181" s="125"/>
      <c r="L181" s="125">
        <f t="shared" si="68"/>
        <v>0</v>
      </c>
      <c r="M181" s="124" t="str">
        <f t="shared" si="69"/>
        <v>OK</v>
      </c>
      <c r="N181" s="125"/>
      <c r="O181" s="125">
        <f t="shared" si="82"/>
        <v>0</v>
      </c>
      <c r="P181" s="124" t="str">
        <f t="shared" si="83"/>
        <v>OK</v>
      </c>
      <c r="Q181" s="125"/>
      <c r="R181" s="125">
        <f t="shared" si="84"/>
        <v>0</v>
      </c>
      <c r="S181" s="124" t="str">
        <f t="shared" si="85"/>
        <v>OK</v>
      </c>
    </row>
    <row r="182" spans="1:19" ht="15" x14ac:dyDescent="0.25">
      <c r="A182" s="243" t="s">
        <v>394</v>
      </c>
      <c r="B182" s="243">
        <v>58</v>
      </c>
      <c r="C182" s="244" t="s">
        <v>395</v>
      </c>
      <c r="D182" s="243" t="s">
        <v>75</v>
      </c>
      <c r="E182" s="245">
        <v>230</v>
      </c>
      <c r="F182" s="246">
        <v>6089</v>
      </c>
      <c r="G182" s="236">
        <f t="shared" si="66"/>
        <v>1400470</v>
      </c>
      <c r="H182" s="125">
        <v>6089</v>
      </c>
      <c r="I182" s="125">
        <f t="shared" si="65"/>
        <v>1400470</v>
      </c>
      <c r="J182" s="124" t="str">
        <f t="shared" si="67"/>
        <v>OK</v>
      </c>
      <c r="K182" s="125"/>
      <c r="L182" s="125">
        <f t="shared" si="68"/>
        <v>0</v>
      </c>
      <c r="M182" s="124" t="str">
        <f t="shared" si="69"/>
        <v>OK</v>
      </c>
      <c r="N182" s="125"/>
      <c r="O182" s="125">
        <f t="shared" si="82"/>
        <v>0</v>
      </c>
      <c r="P182" s="124" t="str">
        <f t="shared" si="83"/>
        <v>OK</v>
      </c>
      <c r="Q182" s="125"/>
      <c r="R182" s="125">
        <f t="shared" si="84"/>
        <v>0</v>
      </c>
      <c r="S182" s="124" t="str">
        <f t="shared" si="85"/>
        <v>OK</v>
      </c>
    </row>
    <row r="183" spans="1:19" ht="15" x14ac:dyDescent="0.25">
      <c r="A183" s="295"/>
      <c r="B183" s="295"/>
      <c r="C183" s="296" t="s">
        <v>130</v>
      </c>
      <c r="D183" s="291"/>
      <c r="E183" s="302"/>
      <c r="F183" s="294"/>
      <c r="G183" s="236"/>
      <c r="H183" s="125"/>
      <c r="I183" s="125"/>
      <c r="J183" s="124"/>
      <c r="K183" s="125"/>
      <c r="L183" s="125"/>
      <c r="M183" s="124"/>
      <c r="N183" s="125"/>
      <c r="O183" s="125"/>
      <c r="P183" s="124"/>
      <c r="Q183" s="125"/>
      <c r="R183" s="125"/>
      <c r="S183" s="124"/>
    </row>
    <row r="184" spans="1:19" ht="15" x14ac:dyDescent="0.25">
      <c r="A184" s="303" t="s">
        <v>396</v>
      </c>
      <c r="B184" s="303"/>
      <c r="C184" s="304" t="s">
        <v>397</v>
      </c>
      <c r="D184" s="303"/>
      <c r="E184" s="305"/>
      <c r="F184" s="306"/>
      <c r="G184" s="236"/>
      <c r="H184" s="125"/>
      <c r="I184" s="125"/>
      <c r="J184" s="124"/>
      <c r="K184" s="125"/>
      <c r="L184" s="125"/>
      <c r="M184" s="124"/>
      <c r="N184" s="125"/>
      <c r="O184" s="125"/>
      <c r="P184" s="124"/>
      <c r="Q184" s="125"/>
      <c r="R184" s="125"/>
      <c r="S184" s="124"/>
    </row>
    <row r="185" spans="1:19" ht="15" x14ac:dyDescent="0.25">
      <c r="A185" s="307" t="s">
        <v>398</v>
      </c>
      <c r="B185" s="307"/>
      <c r="C185" s="308" t="s">
        <v>399</v>
      </c>
      <c r="D185" s="307"/>
      <c r="E185" s="309"/>
      <c r="F185" s="310"/>
      <c r="G185" s="236"/>
      <c r="H185" s="125"/>
      <c r="I185" s="125"/>
      <c r="J185" s="124"/>
      <c r="K185" s="125"/>
      <c r="L185" s="125"/>
      <c r="M185" s="124"/>
      <c r="N185" s="125"/>
      <c r="O185" s="125"/>
      <c r="P185" s="124"/>
      <c r="Q185" s="125"/>
      <c r="R185" s="125"/>
      <c r="S185" s="124"/>
    </row>
    <row r="186" spans="1:19" ht="51" x14ac:dyDescent="0.25">
      <c r="A186" s="243" t="s">
        <v>400</v>
      </c>
      <c r="B186" s="243"/>
      <c r="C186" s="244" t="s">
        <v>401</v>
      </c>
      <c r="D186" s="243" t="s">
        <v>402</v>
      </c>
      <c r="E186" s="245">
        <v>1</v>
      </c>
      <c r="F186" s="246">
        <v>5912843</v>
      </c>
      <c r="G186" s="236">
        <f t="shared" si="66"/>
        <v>5912843</v>
      </c>
      <c r="H186" s="125">
        <v>5912843</v>
      </c>
      <c r="I186" s="125">
        <f t="shared" si="65"/>
        <v>5912843</v>
      </c>
      <c r="J186" s="124" t="str">
        <f t="shared" si="67"/>
        <v>OK</v>
      </c>
      <c r="K186" s="125"/>
      <c r="L186" s="125">
        <f t="shared" si="68"/>
        <v>0</v>
      </c>
      <c r="M186" s="124" t="str">
        <f t="shared" si="69"/>
        <v>OK</v>
      </c>
      <c r="N186" s="125"/>
      <c r="O186" s="125">
        <f t="shared" ref="O186:O190" si="86">ROUND($E186*N186,0)</f>
        <v>0</v>
      </c>
      <c r="P186" s="124" t="str">
        <f t="shared" ref="P186:P190" si="87">+IF(N186&lt;=$F186,"OK","NO OK")</f>
        <v>OK</v>
      </c>
      <c r="Q186" s="125"/>
      <c r="R186" s="125">
        <f t="shared" ref="R186:R190" si="88">ROUND($E186*Q186,0)</f>
        <v>0</v>
      </c>
      <c r="S186" s="124" t="str">
        <f t="shared" ref="S186:S190" si="89">+IF(Q186&lt;=$F186,"OK","NO OK")</f>
        <v>OK</v>
      </c>
    </row>
    <row r="187" spans="1:19" ht="51" x14ac:dyDescent="0.25">
      <c r="A187" s="243" t="s">
        <v>403</v>
      </c>
      <c r="B187" s="243"/>
      <c r="C187" s="244" t="s">
        <v>404</v>
      </c>
      <c r="D187" s="243" t="s">
        <v>402</v>
      </c>
      <c r="E187" s="245">
        <v>17</v>
      </c>
      <c r="F187" s="246">
        <v>1138583</v>
      </c>
      <c r="G187" s="236">
        <f t="shared" si="66"/>
        <v>19355911</v>
      </c>
      <c r="H187" s="125">
        <v>1138583</v>
      </c>
      <c r="I187" s="125">
        <f t="shared" si="65"/>
        <v>19355911</v>
      </c>
      <c r="J187" s="124" t="str">
        <f t="shared" si="67"/>
        <v>OK</v>
      </c>
      <c r="K187" s="125"/>
      <c r="L187" s="125">
        <f t="shared" si="68"/>
        <v>0</v>
      </c>
      <c r="M187" s="124" t="str">
        <f t="shared" si="69"/>
        <v>OK</v>
      </c>
      <c r="N187" s="125"/>
      <c r="O187" s="125">
        <f t="shared" si="86"/>
        <v>0</v>
      </c>
      <c r="P187" s="124" t="str">
        <f t="shared" si="87"/>
        <v>OK</v>
      </c>
      <c r="Q187" s="125"/>
      <c r="R187" s="125">
        <f t="shared" si="88"/>
        <v>0</v>
      </c>
      <c r="S187" s="124" t="str">
        <f t="shared" si="89"/>
        <v>OK</v>
      </c>
    </row>
    <row r="188" spans="1:19" ht="63.75" x14ac:dyDescent="0.25">
      <c r="A188" s="243" t="s">
        <v>405</v>
      </c>
      <c r="B188" s="243"/>
      <c r="C188" s="244" t="s">
        <v>406</v>
      </c>
      <c r="D188" s="243" t="s">
        <v>407</v>
      </c>
      <c r="E188" s="245">
        <v>35</v>
      </c>
      <c r="F188" s="246">
        <v>61983</v>
      </c>
      <c r="G188" s="236">
        <f t="shared" si="66"/>
        <v>2169405</v>
      </c>
      <c r="H188" s="125">
        <v>61983</v>
      </c>
      <c r="I188" s="125">
        <f t="shared" si="65"/>
        <v>2169405</v>
      </c>
      <c r="J188" s="124" t="str">
        <f t="shared" si="67"/>
        <v>OK</v>
      </c>
      <c r="K188" s="125"/>
      <c r="L188" s="125">
        <f t="shared" si="68"/>
        <v>0</v>
      </c>
      <c r="M188" s="124" t="str">
        <f t="shared" si="69"/>
        <v>OK</v>
      </c>
      <c r="N188" s="125"/>
      <c r="O188" s="125">
        <f t="shared" si="86"/>
        <v>0</v>
      </c>
      <c r="P188" s="124" t="str">
        <f t="shared" si="87"/>
        <v>OK</v>
      </c>
      <c r="Q188" s="125"/>
      <c r="R188" s="125">
        <f t="shared" si="88"/>
        <v>0</v>
      </c>
      <c r="S188" s="124" t="str">
        <f t="shared" si="89"/>
        <v>OK</v>
      </c>
    </row>
    <row r="189" spans="1:19" ht="63.75" x14ac:dyDescent="0.25">
      <c r="A189" s="243" t="s">
        <v>408</v>
      </c>
      <c r="B189" s="243"/>
      <c r="C189" s="244" t="s">
        <v>409</v>
      </c>
      <c r="D189" s="243" t="s">
        <v>407</v>
      </c>
      <c r="E189" s="245">
        <v>332</v>
      </c>
      <c r="F189" s="246">
        <v>51582</v>
      </c>
      <c r="G189" s="236">
        <f t="shared" si="66"/>
        <v>17125224</v>
      </c>
      <c r="H189" s="125">
        <v>51582</v>
      </c>
      <c r="I189" s="125">
        <f t="shared" si="65"/>
        <v>17125224</v>
      </c>
      <c r="J189" s="124" t="str">
        <f t="shared" si="67"/>
        <v>OK</v>
      </c>
      <c r="K189" s="125"/>
      <c r="L189" s="125">
        <f t="shared" si="68"/>
        <v>0</v>
      </c>
      <c r="M189" s="124" t="str">
        <f t="shared" si="69"/>
        <v>OK</v>
      </c>
      <c r="N189" s="125"/>
      <c r="O189" s="125">
        <f t="shared" si="86"/>
        <v>0</v>
      </c>
      <c r="P189" s="124" t="str">
        <f t="shared" si="87"/>
        <v>OK</v>
      </c>
      <c r="Q189" s="125"/>
      <c r="R189" s="125">
        <f t="shared" si="88"/>
        <v>0</v>
      </c>
      <c r="S189" s="124" t="str">
        <f t="shared" si="89"/>
        <v>OK</v>
      </c>
    </row>
    <row r="190" spans="1:19" ht="63.75" x14ac:dyDescent="0.25">
      <c r="A190" s="243" t="s">
        <v>410</v>
      </c>
      <c r="B190" s="243"/>
      <c r="C190" s="244" t="s">
        <v>411</v>
      </c>
      <c r="D190" s="243" t="s">
        <v>407</v>
      </c>
      <c r="E190" s="245">
        <v>130</v>
      </c>
      <c r="F190" s="246">
        <v>44459</v>
      </c>
      <c r="G190" s="236">
        <f t="shared" si="66"/>
        <v>5779670</v>
      </c>
      <c r="H190" s="125">
        <v>44459</v>
      </c>
      <c r="I190" s="125">
        <f t="shared" si="65"/>
        <v>5779670</v>
      </c>
      <c r="J190" s="124" t="str">
        <f t="shared" si="67"/>
        <v>OK</v>
      </c>
      <c r="K190" s="125"/>
      <c r="L190" s="125">
        <f t="shared" si="68"/>
        <v>0</v>
      </c>
      <c r="M190" s="124" t="str">
        <f t="shared" si="69"/>
        <v>OK</v>
      </c>
      <c r="N190" s="125"/>
      <c r="O190" s="125">
        <f t="shared" si="86"/>
        <v>0</v>
      </c>
      <c r="P190" s="124" t="str">
        <f t="shared" si="87"/>
        <v>OK</v>
      </c>
      <c r="Q190" s="125"/>
      <c r="R190" s="125">
        <f t="shared" si="88"/>
        <v>0</v>
      </c>
      <c r="S190" s="124" t="str">
        <f t="shared" si="89"/>
        <v>OK</v>
      </c>
    </row>
    <row r="191" spans="1:19" ht="15" x14ac:dyDescent="0.25">
      <c r="A191" s="307"/>
      <c r="B191" s="307"/>
      <c r="C191" s="308" t="s">
        <v>130</v>
      </c>
      <c r="D191" s="307"/>
      <c r="E191" s="309"/>
      <c r="F191" s="310"/>
      <c r="G191" s="236"/>
      <c r="H191" s="125"/>
      <c r="I191" s="125"/>
      <c r="J191" s="124"/>
      <c r="K191" s="125"/>
      <c r="L191" s="125"/>
      <c r="M191" s="124"/>
      <c r="N191" s="125"/>
      <c r="O191" s="125"/>
      <c r="P191" s="124"/>
      <c r="Q191" s="125"/>
      <c r="R191" s="125"/>
      <c r="S191" s="124"/>
    </row>
    <row r="192" spans="1:19" ht="15" x14ac:dyDescent="0.25">
      <c r="A192" s="307" t="s">
        <v>412</v>
      </c>
      <c r="B192" s="307"/>
      <c r="C192" s="308" t="s">
        <v>413</v>
      </c>
      <c r="D192" s="307"/>
      <c r="E192" s="311"/>
      <c r="F192" s="310"/>
      <c r="G192" s="236"/>
      <c r="H192" s="125"/>
      <c r="I192" s="125"/>
      <c r="J192" s="124"/>
      <c r="K192" s="125"/>
      <c r="L192" s="125"/>
      <c r="M192" s="124"/>
      <c r="N192" s="125"/>
      <c r="O192" s="125"/>
      <c r="P192" s="124"/>
      <c r="Q192" s="125"/>
      <c r="R192" s="125"/>
      <c r="S192" s="124"/>
    </row>
    <row r="193" spans="1:19" ht="89.25" x14ac:dyDescent="0.25">
      <c r="A193" s="243" t="s">
        <v>414</v>
      </c>
      <c r="B193" s="243"/>
      <c r="C193" s="244" t="s">
        <v>415</v>
      </c>
      <c r="D193" s="243" t="s">
        <v>407</v>
      </c>
      <c r="E193" s="245">
        <v>233</v>
      </c>
      <c r="F193" s="246">
        <v>79590</v>
      </c>
      <c r="G193" s="236">
        <f t="shared" si="66"/>
        <v>18544470</v>
      </c>
      <c r="H193" s="125">
        <v>79590</v>
      </c>
      <c r="I193" s="125">
        <f t="shared" si="65"/>
        <v>18544470</v>
      </c>
      <c r="J193" s="124" t="str">
        <f t="shared" si="67"/>
        <v>OK</v>
      </c>
      <c r="K193" s="125"/>
      <c r="L193" s="125">
        <f t="shared" si="68"/>
        <v>0</v>
      </c>
      <c r="M193" s="124" t="str">
        <f t="shared" si="69"/>
        <v>OK</v>
      </c>
      <c r="N193" s="125"/>
      <c r="O193" s="125">
        <f t="shared" ref="O193:O197" si="90">ROUND($E193*N193,0)</f>
        <v>0</v>
      </c>
      <c r="P193" s="124" t="str">
        <f t="shared" ref="P193:P197" si="91">+IF(N193&lt;=$F193,"OK","NO OK")</f>
        <v>OK</v>
      </c>
      <c r="Q193" s="125"/>
      <c r="R193" s="125">
        <f t="shared" ref="R193:R197" si="92">ROUND($E193*Q193,0)</f>
        <v>0</v>
      </c>
      <c r="S193" s="124" t="str">
        <f t="shared" ref="S193:S197" si="93">+IF(Q193&lt;=$F193,"OK","NO OK")</f>
        <v>OK</v>
      </c>
    </row>
    <row r="194" spans="1:19" ht="89.25" x14ac:dyDescent="0.25">
      <c r="A194" s="243" t="s">
        <v>416</v>
      </c>
      <c r="B194" s="243"/>
      <c r="C194" s="244" t="s">
        <v>417</v>
      </c>
      <c r="D194" s="243" t="s">
        <v>407</v>
      </c>
      <c r="E194" s="245">
        <v>233</v>
      </c>
      <c r="F194" s="246">
        <v>63140</v>
      </c>
      <c r="G194" s="236">
        <f t="shared" si="66"/>
        <v>14711620</v>
      </c>
      <c r="H194" s="125">
        <v>63140</v>
      </c>
      <c r="I194" s="125">
        <f t="shared" si="65"/>
        <v>14711620</v>
      </c>
      <c r="J194" s="124" t="str">
        <f t="shared" si="67"/>
        <v>OK</v>
      </c>
      <c r="K194" s="125"/>
      <c r="L194" s="125">
        <f t="shared" si="68"/>
        <v>0</v>
      </c>
      <c r="M194" s="124" t="str">
        <f t="shared" si="69"/>
        <v>OK</v>
      </c>
      <c r="N194" s="125"/>
      <c r="O194" s="125">
        <f t="shared" si="90"/>
        <v>0</v>
      </c>
      <c r="P194" s="124" t="str">
        <f t="shared" si="91"/>
        <v>OK</v>
      </c>
      <c r="Q194" s="125"/>
      <c r="R194" s="125">
        <f t="shared" si="92"/>
        <v>0</v>
      </c>
      <c r="S194" s="124" t="str">
        <f t="shared" si="93"/>
        <v>OK</v>
      </c>
    </row>
    <row r="195" spans="1:19" ht="89.25" x14ac:dyDescent="0.25">
      <c r="A195" s="243" t="s">
        <v>418</v>
      </c>
      <c r="B195" s="243"/>
      <c r="C195" s="244" t="s">
        <v>419</v>
      </c>
      <c r="D195" s="243" t="s">
        <v>407</v>
      </c>
      <c r="E195" s="245">
        <v>1142</v>
      </c>
      <c r="F195" s="246">
        <v>49155</v>
      </c>
      <c r="G195" s="236">
        <f t="shared" si="66"/>
        <v>56135010</v>
      </c>
      <c r="H195" s="125">
        <v>49155</v>
      </c>
      <c r="I195" s="125">
        <f t="shared" si="65"/>
        <v>56135010</v>
      </c>
      <c r="J195" s="124" t="str">
        <f t="shared" si="67"/>
        <v>OK</v>
      </c>
      <c r="K195" s="125"/>
      <c r="L195" s="125">
        <f t="shared" si="68"/>
        <v>0</v>
      </c>
      <c r="M195" s="124" t="str">
        <f t="shared" si="69"/>
        <v>OK</v>
      </c>
      <c r="N195" s="125"/>
      <c r="O195" s="125">
        <f t="shared" si="90"/>
        <v>0</v>
      </c>
      <c r="P195" s="124" t="str">
        <f t="shared" si="91"/>
        <v>OK</v>
      </c>
      <c r="Q195" s="125"/>
      <c r="R195" s="125">
        <f t="shared" si="92"/>
        <v>0</v>
      </c>
      <c r="S195" s="124" t="str">
        <f t="shared" si="93"/>
        <v>OK</v>
      </c>
    </row>
    <row r="196" spans="1:19" ht="63.75" x14ac:dyDescent="0.25">
      <c r="A196" s="243" t="s">
        <v>420</v>
      </c>
      <c r="B196" s="243"/>
      <c r="C196" s="244" t="s">
        <v>421</v>
      </c>
      <c r="D196" s="243" t="s">
        <v>402</v>
      </c>
      <c r="E196" s="245">
        <v>8</v>
      </c>
      <c r="F196" s="246">
        <v>934888</v>
      </c>
      <c r="G196" s="236">
        <f t="shared" si="66"/>
        <v>7479104</v>
      </c>
      <c r="H196" s="125">
        <v>934888</v>
      </c>
      <c r="I196" s="125">
        <f t="shared" si="65"/>
        <v>7479104</v>
      </c>
      <c r="J196" s="124" t="str">
        <f t="shared" si="67"/>
        <v>OK</v>
      </c>
      <c r="K196" s="125"/>
      <c r="L196" s="125">
        <f t="shared" si="68"/>
        <v>0</v>
      </c>
      <c r="M196" s="124" t="str">
        <f t="shared" si="69"/>
        <v>OK</v>
      </c>
      <c r="N196" s="125"/>
      <c r="O196" s="125">
        <f t="shared" si="90"/>
        <v>0</v>
      </c>
      <c r="P196" s="124" t="str">
        <f t="shared" si="91"/>
        <v>OK</v>
      </c>
      <c r="Q196" s="125"/>
      <c r="R196" s="125">
        <f t="shared" si="92"/>
        <v>0</v>
      </c>
      <c r="S196" s="124" t="str">
        <f t="shared" si="93"/>
        <v>OK</v>
      </c>
    </row>
    <row r="197" spans="1:19" ht="63.75" x14ac:dyDescent="0.25">
      <c r="A197" s="243" t="s">
        <v>422</v>
      </c>
      <c r="B197" s="243"/>
      <c r="C197" s="244" t="s">
        <v>423</v>
      </c>
      <c r="D197" s="243" t="s">
        <v>402</v>
      </c>
      <c r="E197" s="245">
        <v>4</v>
      </c>
      <c r="F197" s="246">
        <v>537972</v>
      </c>
      <c r="G197" s="236">
        <f t="shared" si="66"/>
        <v>2151888</v>
      </c>
      <c r="H197" s="125">
        <v>537972</v>
      </c>
      <c r="I197" s="125">
        <f t="shared" si="65"/>
        <v>2151888</v>
      </c>
      <c r="J197" s="124" t="str">
        <f t="shared" si="67"/>
        <v>OK</v>
      </c>
      <c r="K197" s="125"/>
      <c r="L197" s="125">
        <f t="shared" si="68"/>
        <v>0</v>
      </c>
      <c r="M197" s="124" t="str">
        <f t="shared" si="69"/>
        <v>OK</v>
      </c>
      <c r="N197" s="125"/>
      <c r="O197" s="125">
        <f t="shared" si="90"/>
        <v>0</v>
      </c>
      <c r="P197" s="124" t="str">
        <f t="shared" si="91"/>
        <v>OK</v>
      </c>
      <c r="Q197" s="125"/>
      <c r="R197" s="125">
        <f t="shared" si="92"/>
        <v>0</v>
      </c>
      <c r="S197" s="124" t="str">
        <f t="shared" si="93"/>
        <v>OK</v>
      </c>
    </row>
    <row r="198" spans="1:19" ht="15" x14ac:dyDescent="0.25">
      <c r="A198" s="307"/>
      <c r="B198" s="307"/>
      <c r="C198" s="308" t="s">
        <v>130</v>
      </c>
      <c r="D198" s="307"/>
      <c r="E198" s="309"/>
      <c r="F198" s="310"/>
      <c r="G198" s="236"/>
      <c r="H198" s="125"/>
      <c r="I198" s="125"/>
      <c r="J198" s="124"/>
      <c r="K198" s="125"/>
      <c r="L198" s="125"/>
      <c r="M198" s="124"/>
      <c r="N198" s="125"/>
      <c r="O198" s="125"/>
      <c r="P198" s="124"/>
      <c r="Q198" s="125"/>
      <c r="R198" s="125"/>
      <c r="S198" s="124"/>
    </row>
    <row r="199" spans="1:19" ht="15" x14ac:dyDescent="0.25">
      <c r="A199" s="307" t="s">
        <v>424</v>
      </c>
      <c r="B199" s="307"/>
      <c r="C199" s="308" t="s">
        <v>425</v>
      </c>
      <c r="D199" s="307"/>
      <c r="E199" s="309"/>
      <c r="F199" s="310"/>
      <c r="G199" s="236"/>
      <c r="H199" s="125"/>
      <c r="I199" s="125"/>
      <c r="J199" s="124"/>
      <c r="K199" s="125"/>
      <c r="L199" s="125"/>
      <c r="M199" s="124"/>
      <c r="N199" s="125"/>
      <c r="O199" s="125"/>
      <c r="P199" s="124"/>
      <c r="Q199" s="125"/>
      <c r="R199" s="125"/>
      <c r="S199" s="124"/>
    </row>
    <row r="200" spans="1:19" ht="318.75" x14ac:dyDescent="0.25">
      <c r="A200" s="243" t="s">
        <v>426</v>
      </c>
      <c r="B200" s="243"/>
      <c r="C200" s="244" t="s">
        <v>427</v>
      </c>
      <c r="D200" s="243" t="s">
        <v>402</v>
      </c>
      <c r="E200" s="245">
        <v>1</v>
      </c>
      <c r="F200" s="246">
        <v>19177445</v>
      </c>
      <c r="G200" s="236">
        <f t="shared" si="66"/>
        <v>19177445</v>
      </c>
      <c r="H200" s="125">
        <v>19177445</v>
      </c>
      <c r="I200" s="125">
        <f t="shared" si="65"/>
        <v>19177445</v>
      </c>
      <c r="J200" s="124" t="str">
        <f t="shared" si="67"/>
        <v>OK</v>
      </c>
      <c r="K200" s="125"/>
      <c r="L200" s="125">
        <f t="shared" si="68"/>
        <v>0</v>
      </c>
      <c r="M200" s="124" t="str">
        <f t="shared" si="69"/>
        <v>OK</v>
      </c>
      <c r="N200" s="125"/>
      <c r="O200" s="125">
        <f t="shared" ref="O200:O203" si="94">ROUND($E200*N200,0)</f>
        <v>0</v>
      </c>
      <c r="P200" s="124" t="str">
        <f t="shared" ref="P200:P203" si="95">+IF(N200&lt;=$F200,"OK","NO OK")</f>
        <v>OK</v>
      </c>
      <c r="Q200" s="125"/>
      <c r="R200" s="125">
        <f t="shared" ref="R200:R203" si="96">ROUND($E200*Q200,0)</f>
        <v>0</v>
      </c>
      <c r="S200" s="124" t="str">
        <f t="shared" ref="S200:S203" si="97">+IF(Q200&lt;=$F200,"OK","NO OK")</f>
        <v>OK</v>
      </c>
    </row>
    <row r="201" spans="1:19" ht="38.25" x14ac:dyDescent="0.25">
      <c r="A201" s="243" t="s">
        <v>428</v>
      </c>
      <c r="B201" s="243"/>
      <c r="C201" s="244" t="s">
        <v>429</v>
      </c>
      <c r="D201" s="243" t="s">
        <v>402</v>
      </c>
      <c r="E201" s="245">
        <v>5</v>
      </c>
      <c r="F201" s="246">
        <v>220954</v>
      </c>
      <c r="G201" s="236">
        <f t="shared" si="66"/>
        <v>1104770</v>
      </c>
      <c r="H201" s="125">
        <v>220954</v>
      </c>
      <c r="I201" s="125">
        <f t="shared" ref="I201:I220" si="98">ROUND($E201*H201,0)</f>
        <v>1104770</v>
      </c>
      <c r="J201" s="124" t="str">
        <f t="shared" si="67"/>
        <v>OK</v>
      </c>
      <c r="K201" s="125"/>
      <c r="L201" s="125">
        <f t="shared" si="68"/>
        <v>0</v>
      </c>
      <c r="M201" s="124" t="str">
        <f t="shared" si="69"/>
        <v>OK</v>
      </c>
      <c r="N201" s="125"/>
      <c r="O201" s="125">
        <f t="shared" si="94"/>
        <v>0</v>
      </c>
      <c r="P201" s="124" t="str">
        <f t="shared" si="95"/>
        <v>OK</v>
      </c>
      <c r="Q201" s="125"/>
      <c r="R201" s="125">
        <f t="shared" si="96"/>
        <v>0</v>
      </c>
      <c r="S201" s="124" t="str">
        <f t="shared" si="97"/>
        <v>OK</v>
      </c>
    </row>
    <row r="202" spans="1:19" ht="63.75" x14ac:dyDescent="0.25">
      <c r="A202" s="243" t="s">
        <v>430</v>
      </c>
      <c r="B202" s="243"/>
      <c r="C202" s="244" t="s">
        <v>431</v>
      </c>
      <c r="D202" s="243" t="s">
        <v>402</v>
      </c>
      <c r="E202" s="245">
        <v>12</v>
      </c>
      <c r="F202" s="246">
        <v>49352361</v>
      </c>
      <c r="G202" s="236">
        <f t="shared" ref="G202:G220" si="99">ROUND($E202*F202,0)</f>
        <v>592228332</v>
      </c>
      <c r="H202" s="125">
        <v>49352361</v>
      </c>
      <c r="I202" s="125">
        <f t="shared" si="98"/>
        <v>592228332</v>
      </c>
      <c r="J202" s="124" t="str">
        <f t="shared" si="67"/>
        <v>OK</v>
      </c>
      <c r="K202" s="125"/>
      <c r="L202" s="125">
        <f t="shared" si="68"/>
        <v>0</v>
      </c>
      <c r="M202" s="124" t="str">
        <f t="shared" si="69"/>
        <v>OK</v>
      </c>
      <c r="N202" s="125"/>
      <c r="O202" s="125">
        <f t="shared" si="94"/>
        <v>0</v>
      </c>
      <c r="P202" s="124" t="str">
        <f t="shared" si="95"/>
        <v>OK</v>
      </c>
      <c r="Q202" s="125"/>
      <c r="R202" s="125">
        <f t="shared" si="96"/>
        <v>0</v>
      </c>
      <c r="S202" s="124" t="str">
        <f t="shared" si="97"/>
        <v>OK</v>
      </c>
    </row>
    <row r="203" spans="1:19" ht="76.5" x14ac:dyDescent="0.25">
      <c r="A203" s="243" t="s">
        <v>432</v>
      </c>
      <c r="B203" s="243"/>
      <c r="C203" s="244" t="s">
        <v>433</v>
      </c>
      <c r="D203" s="243" t="s">
        <v>402</v>
      </c>
      <c r="E203" s="245">
        <v>166</v>
      </c>
      <c r="F203" s="246">
        <v>4676015</v>
      </c>
      <c r="G203" s="236">
        <f t="shared" si="99"/>
        <v>776218490</v>
      </c>
      <c r="H203" s="125">
        <v>4676015</v>
      </c>
      <c r="I203" s="125">
        <f t="shared" si="98"/>
        <v>776218490</v>
      </c>
      <c r="J203" s="124" t="str">
        <f t="shared" ref="J203:J220" si="100">+IF(H203&lt;=$F203,"OK","NO OK")</f>
        <v>OK</v>
      </c>
      <c r="K203" s="125"/>
      <c r="L203" s="125">
        <f t="shared" ref="L203:L220" si="101">ROUND($E203*K203,0)</f>
        <v>0</v>
      </c>
      <c r="M203" s="124" t="str">
        <f t="shared" ref="M203:M220" si="102">+IF(K203&lt;=$F203,"OK","NO OK")</f>
        <v>OK</v>
      </c>
      <c r="N203" s="125"/>
      <c r="O203" s="125">
        <f t="shared" si="94"/>
        <v>0</v>
      </c>
      <c r="P203" s="124" t="str">
        <f t="shared" si="95"/>
        <v>OK</v>
      </c>
      <c r="Q203" s="125"/>
      <c r="R203" s="125">
        <f t="shared" si="96"/>
        <v>0</v>
      </c>
      <c r="S203" s="124" t="str">
        <f t="shared" si="97"/>
        <v>OK</v>
      </c>
    </row>
    <row r="204" spans="1:19" ht="15" x14ac:dyDescent="0.25">
      <c r="A204" s="307"/>
      <c r="B204" s="307"/>
      <c r="C204" s="308" t="s">
        <v>130</v>
      </c>
      <c r="D204" s="307"/>
      <c r="E204" s="309"/>
      <c r="F204" s="310"/>
      <c r="G204" s="236"/>
      <c r="H204" s="125"/>
      <c r="I204" s="125"/>
      <c r="J204" s="124"/>
      <c r="K204" s="125"/>
      <c r="L204" s="125"/>
      <c r="M204" s="124"/>
      <c r="N204" s="125"/>
      <c r="O204" s="125"/>
      <c r="P204" s="124"/>
      <c r="Q204" s="125"/>
      <c r="R204" s="125"/>
      <c r="S204" s="124"/>
    </row>
    <row r="205" spans="1:19" ht="15" x14ac:dyDescent="0.25">
      <c r="A205" s="307" t="s">
        <v>434</v>
      </c>
      <c r="B205" s="307"/>
      <c r="C205" s="308" t="s">
        <v>435</v>
      </c>
      <c r="D205" s="307"/>
      <c r="E205" s="309"/>
      <c r="F205" s="310"/>
      <c r="G205" s="236"/>
      <c r="H205" s="125"/>
      <c r="I205" s="125"/>
      <c r="J205" s="124"/>
      <c r="K205" s="125"/>
      <c r="L205" s="125"/>
      <c r="M205" s="124"/>
      <c r="N205" s="125"/>
      <c r="O205" s="125"/>
      <c r="P205" s="124"/>
      <c r="Q205" s="125"/>
      <c r="R205" s="125"/>
      <c r="S205" s="124"/>
    </row>
    <row r="206" spans="1:19" ht="76.5" x14ac:dyDescent="0.25">
      <c r="A206" s="243" t="s">
        <v>436</v>
      </c>
      <c r="B206" s="243"/>
      <c r="C206" s="244" t="s">
        <v>437</v>
      </c>
      <c r="D206" s="243" t="s">
        <v>407</v>
      </c>
      <c r="E206" s="245">
        <v>50</v>
      </c>
      <c r="F206" s="246">
        <v>26113</v>
      </c>
      <c r="G206" s="236">
        <f t="shared" si="99"/>
        <v>1305650</v>
      </c>
      <c r="H206" s="125">
        <v>26113</v>
      </c>
      <c r="I206" s="125">
        <f t="shared" si="98"/>
        <v>1305650</v>
      </c>
      <c r="J206" s="124" t="str">
        <f t="shared" si="100"/>
        <v>OK</v>
      </c>
      <c r="K206" s="125"/>
      <c r="L206" s="125">
        <f t="shared" si="101"/>
        <v>0</v>
      </c>
      <c r="M206" s="124" t="str">
        <f t="shared" si="102"/>
        <v>OK</v>
      </c>
      <c r="N206" s="125"/>
      <c r="O206" s="125">
        <f t="shared" ref="O206:O216" si="103">ROUND($E206*N206,0)</f>
        <v>0</v>
      </c>
      <c r="P206" s="124" t="str">
        <f t="shared" ref="P206:P216" si="104">+IF(N206&lt;=$F206,"OK","NO OK")</f>
        <v>OK</v>
      </c>
      <c r="Q206" s="125"/>
      <c r="R206" s="125">
        <f t="shared" ref="R206:R216" si="105">ROUND($E206*Q206,0)</f>
        <v>0</v>
      </c>
      <c r="S206" s="124" t="str">
        <f t="shared" ref="S206:S216" si="106">+IF(Q206&lt;=$F206,"OK","NO OK")</f>
        <v>OK</v>
      </c>
    </row>
    <row r="207" spans="1:19" ht="63.75" x14ac:dyDescent="0.25">
      <c r="A207" s="243" t="s">
        <v>438</v>
      </c>
      <c r="B207" s="243"/>
      <c r="C207" s="244" t="s">
        <v>439</v>
      </c>
      <c r="D207" s="243" t="s">
        <v>402</v>
      </c>
      <c r="E207" s="245">
        <v>1</v>
      </c>
      <c r="F207" s="246">
        <v>360455</v>
      </c>
      <c r="G207" s="236">
        <f t="shared" si="99"/>
        <v>360455</v>
      </c>
      <c r="H207" s="125">
        <v>360455</v>
      </c>
      <c r="I207" s="125">
        <f t="shared" si="98"/>
        <v>360455</v>
      </c>
      <c r="J207" s="124" t="str">
        <f t="shared" si="100"/>
        <v>OK</v>
      </c>
      <c r="K207" s="125"/>
      <c r="L207" s="125">
        <f t="shared" si="101"/>
        <v>0</v>
      </c>
      <c r="M207" s="124" t="str">
        <f t="shared" si="102"/>
        <v>OK</v>
      </c>
      <c r="N207" s="125"/>
      <c r="O207" s="125">
        <f t="shared" si="103"/>
        <v>0</v>
      </c>
      <c r="P207" s="124" t="str">
        <f t="shared" si="104"/>
        <v>OK</v>
      </c>
      <c r="Q207" s="125"/>
      <c r="R207" s="125">
        <f t="shared" si="105"/>
        <v>0</v>
      </c>
      <c r="S207" s="124" t="str">
        <f t="shared" si="106"/>
        <v>OK</v>
      </c>
    </row>
    <row r="208" spans="1:19" ht="89.25" x14ac:dyDescent="0.25">
      <c r="A208" s="243" t="s">
        <v>440</v>
      </c>
      <c r="B208" s="243"/>
      <c r="C208" s="244" t="s">
        <v>441</v>
      </c>
      <c r="D208" s="243" t="s">
        <v>402</v>
      </c>
      <c r="E208" s="245">
        <v>4</v>
      </c>
      <c r="F208" s="246">
        <v>124731</v>
      </c>
      <c r="G208" s="236">
        <f t="shared" si="99"/>
        <v>498924</v>
      </c>
      <c r="H208" s="125">
        <v>124731</v>
      </c>
      <c r="I208" s="125">
        <f t="shared" si="98"/>
        <v>498924</v>
      </c>
      <c r="J208" s="124" t="str">
        <f t="shared" si="100"/>
        <v>OK</v>
      </c>
      <c r="K208" s="125"/>
      <c r="L208" s="125">
        <f t="shared" si="101"/>
        <v>0</v>
      </c>
      <c r="M208" s="124" t="str">
        <f t="shared" si="102"/>
        <v>OK</v>
      </c>
      <c r="N208" s="125"/>
      <c r="O208" s="125">
        <f t="shared" si="103"/>
        <v>0</v>
      </c>
      <c r="P208" s="124" t="str">
        <f t="shared" si="104"/>
        <v>OK</v>
      </c>
      <c r="Q208" s="125"/>
      <c r="R208" s="125">
        <f t="shared" si="105"/>
        <v>0</v>
      </c>
      <c r="S208" s="124" t="str">
        <f t="shared" si="106"/>
        <v>OK</v>
      </c>
    </row>
    <row r="209" spans="1:19" ht="114.75" x14ac:dyDescent="0.25">
      <c r="A209" s="243" t="s">
        <v>442</v>
      </c>
      <c r="B209" s="243"/>
      <c r="C209" s="244" t="s">
        <v>443</v>
      </c>
      <c r="D209" s="243" t="s">
        <v>402</v>
      </c>
      <c r="E209" s="245">
        <v>4</v>
      </c>
      <c r="F209" s="246">
        <v>146121</v>
      </c>
      <c r="G209" s="236">
        <f t="shared" si="99"/>
        <v>584484</v>
      </c>
      <c r="H209" s="125">
        <v>146121</v>
      </c>
      <c r="I209" s="125">
        <f t="shared" si="98"/>
        <v>584484</v>
      </c>
      <c r="J209" s="124" t="str">
        <f t="shared" si="100"/>
        <v>OK</v>
      </c>
      <c r="K209" s="125"/>
      <c r="L209" s="125">
        <f t="shared" si="101"/>
        <v>0</v>
      </c>
      <c r="M209" s="124" t="str">
        <f t="shared" si="102"/>
        <v>OK</v>
      </c>
      <c r="N209" s="125"/>
      <c r="O209" s="125">
        <f t="shared" si="103"/>
        <v>0</v>
      </c>
      <c r="P209" s="124" t="str">
        <f t="shared" si="104"/>
        <v>OK</v>
      </c>
      <c r="Q209" s="125"/>
      <c r="R209" s="125">
        <f t="shared" si="105"/>
        <v>0</v>
      </c>
      <c r="S209" s="124" t="str">
        <f t="shared" si="106"/>
        <v>OK</v>
      </c>
    </row>
    <row r="210" spans="1:19" ht="76.5" x14ac:dyDescent="0.25">
      <c r="A210" s="243" t="s">
        <v>444</v>
      </c>
      <c r="B210" s="243"/>
      <c r="C210" s="244" t="s">
        <v>445</v>
      </c>
      <c r="D210" s="243" t="s">
        <v>402</v>
      </c>
      <c r="E210" s="245">
        <v>1</v>
      </c>
      <c r="F210" s="246">
        <v>120907</v>
      </c>
      <c r="G210" s="236">
        <f t="shared" si="99"/>
        <v>120907</v>
      </c>
      <c r="H210" s="125">
        <v>120907</v>
      </c>
      <c r="I210" s="125">
        <f t="shared" si="98"/>
        <v>120907</v>
      </c>
      <c r="J210" s="124" t="str">
        <f t="shared" si="100"/>
        <v>OK</v>
      </c>
      <c r="K210" s="125"/>
      <c r="L210" s="125">
        <f t="shared" si="101"/>
        <v>0</v>
      </c>
      <c r="M210" s="124" t="str">
        <f t="shared" si="102"/>
        <v>OK</v>
      </c>
      <c r="N210" s="125"/>
      <c r="O210" s="125">
        <f t="shared" si="103"/>
        <v>0</v>
      </c>
      <c r="P210" s="124" t="str">
        <f t="shared" si="104"/>
        <v>OK</v>
      </c>
      <c r="Q210" s="125"/>
      <c r="R210" s="125">
        <f t="shared" si="105"/>
        <v>0</v>
      </c>
      <c r="S210" s="124" t="str">
        <f t="shared" si="106"/>
        <v>OK</v>
      </c>
    </row>
    <row r="211" spans="1:19" ht="89.25" x14ac:dyDescent="0.25">
      <c r="A211" s="243" t="s">
        <v>446</v>
      </c>
      <c r="B211" s="243"/>
      <c r="C211" s="244" t="s">
        <v>447</v>
      </c>
      <c r="D211" s="243" t="s">
        <v>402</v>
      </c>
      <c r="E211" s="245">
        <v>4</v>
      </c>
      <c r="F211" s="246">
        <v>247871</v>
      </c>
      <c r="G211" s="236">
        <f t="shared" si="99"/>
        <v>991484</v>
      </c>
      <c r="H211" s="125">
        <v>247871</v>
      </c>
      <c r="I211" s="125">
        <f t="shared" si="98"/>
        <v>991484</v>
      </c>
      <c r="J211" s="124" t="str">
        <f t="shared" si="100"/>
        <v>OK</v>
      </c>
      <c r="K211" s="125"/>
      <c r="L211" s="125">
        <f t="shared" si="101"/>
        <v>0</v>
      </c>
      <c r="M211" s="124" t="str">
        <f t="shared" si="102"/>
        <v>OK</v>
      </c>
      <c r="N211" s="125"/>
      <c r="O211" s="125">
        <f t="shared" si="103"/>
        <v>0</v>
      </c>
      <c r="P211" s="124" t="str">
        <f t="shared" si="104"/>
        <v>OK</v>
      </c>
      <c r="Q211" s="125"/>
      <c r="R211" s="125">
        <f t="shared" si="105"/>
        <v>0</v>
      </c>
      <c r="S211" s="124" t="str">
        <f t="shared" si="106"/>
        <v>OK</v>
      </c>
    </row>
    <row r="212" spans="1:19" ht="76.5" x14ac:dyDescent="0.25">
      <c r="A212" s="243" t="s">
        <v>448</v>
      </c>
      <c r="B212" s="243"/>
      <c r="C212" s="244" t="s">
        <v>449</v>
      </c>
      <c r="D212" s="243" t="s">
        <v>407</v>
      </c>
      <c r="E212" s="245">
        <v>15</v>
      </c>
      <c r="F212" s="246">
        <v>21181</v>
      </c>
      <c r="G212" s="236">
        <f t="shared" si="99"/>
        <v>317715</v>
      </c>
      <c r="H212" s="125">
        <v>21181</v>
      </c>
      <c r="I212" s="125">
        <f t="shared" si="98"/>
        <v>317715</v>
      </c>
      <c r="J212" s="124" t="str">
        <f t="shared" si="100"/>
        <v>OK</v>
      </c>
      <c r="K212" s="125"/>
      <c r="L212" s="125">
        <f t="shared" si="101"/>
        <v>0</v>
      </c>
      <c r="M212" s="124" t="str">
        <f t="shared" si="102"/>
        <v>OK</v>
      </c>
      <c r="N212" s="125"/>
      <c r="O212" s="125">
        <f t="shared" si="103"/>
        <v>0</v>
      </c>
      <c r="P212" s="124" t="str">
        <f t="shared" si="104"/>
        <v>OK</v>
      </c>
      <c r="Q212" s="125"/>
      <c r="R212" s="125">
        <f t="shared" si="105"/>
        <v>0</v>
      </c>
      <c r="S212" s="124" t="str">
        <f t="shared" si="106"/>
        <v>OK</v>
      </c>
    </row>
    <row r="213" spans="1:19" ht="15" x14ac:dyDescent="0.25">
      <c r="A213" s="243" t="s">
        <v>450</v>
      </c>
      <c r="B213" s="243"/>
      <c r="C213" s="244" t="s">
        <v>451</v>
      </c>
      <c r="D213" s="243" t="s">
        <v>402</v>
      </c>
      <c r="E213" s="245">
        <v>4</v>
      </c>
      <c r="F213" s="246">
        <v>136623</v>
      </c>
      <c r="G213" s="236">
        <f t="shared" si="99"/>
        <v>546492</v>
      </c>
      <c r="H213" s="125">
        <v>136623</v>
      </c>
      <c r="I213" s="125">
        <f t="shared" si="98"/>
        <v>546492</v>
      </c>
      <c r="J213" s="124" t="str">
        <f t="shared" si="100"/>
        <v>OK</v>
      </c>
      <c r="K213" s="125"/>
      <c r="L213" s="125">
        <f t="shared" si="101"/>
        <v>0</v>
      </c>
      <c r="M213" s="124" t="str">
        <f t="shared" si="102"/>
        <v>OK</v>
      </c>
      <c r="N213" s="125"/>
      <c r="O213" s="125">
        <f t="shared" si="103"/>
        <v>0</v>
      </c>
      <c r="P213" s="124" t="str">
        <f t="shared" si="104"/>
        <v>OK</v>
      </c>
      <c r="Q213" s="125"/>
      <c r="R213" s="125">
        <f t="shared" si="105"/>
        <v>0</v>
      </c>
      <c r="S213" s="124" t="str">
        <f t="shared" si="106"/>
        <v>OK</v>
      </c>
    </row>
    <row r="214" spans="1:19" ht="15" x14ac:dyDescent="0.25">
      <c r="A214" s="243" t="s">
        <v>452</v>
      </c>
      <c r="B214" s="243"/>
      <c r="C214" s="244" t="s">
        <v>453</v>
      </c>
      <c r="D214" s="243" t="s">
        <v>402</v>
      </c>
      <c r="E214" s="245">
        <v>2</v>
      </c>
      <c r="F214" s="246">
        <v>124184</v>
      </c>
      <c r="G214" s="236">
        <f t="shared" si="99"/>
        <v>248368</v>
      </c>
      <c r="H214" s="125">
        <v>124184</v>
      </c>
      <c r="I214" s="125">
        <f t="shared" si="98"/>
        <v>248368</v>
      </c>
      <c r="J214" s="124" t="str">
        <f t="shared" si="100"/>
        <v>OK</v>
      </c>
      <c r="K214" s="125"/>
      <c r="L214" s="125">
        <f t="shared" si="101"/>
        <v>0</v>
      </c>
      <c r="M214" s="124" t="str">
        <f t="shared" si="102"/>
        <v>OK</v>
      </c>
      <c r="N214" s="125"/>
      <c r="O214" s="125">
        <f t="shared" si="103"/>
        <v>0</v>
      </c>
      <c r="P214" s="124" t="str">
        <f t="shared" si="104"/>
        <v>OK</v>
      </c>
      <c r="Q214" s="125"/>
      <c r="R214" s="125">
        <f t="shared" si="105"/>
        <v>0</v>
      </c>
      <c r="S214" s="124" t="str">
        <f t="shared" si="106"/>
        <v>OK</v>
      </c>
    </row>
    <row r="215" spans="1:19" ht="25.5" x14ac:dyDescent="0.25">
      <c r="A215" s="243" t="s">
        <v>454</v>
      </c>
      <c r="B215" s="243"/>
      <c r="C215" s="244" t="s">
        <v>455</v>
      </c>
      <c r="D215" s="243" t="s">
        <v>402</v>
      </c>
      <c r="E215" s="245">
        <v>4</v>
      </c>
      <c r="F215" s="246">
        <v>123581</v>
      </c>
      <c r="G215" s="236">
        <f t="shared" si="99"/>
        <v>494324</v>
      </c>
      <c r="H215" s="125">
        <v>123581</v>
      </c>
      <c r="I215" s="125">
        <f t="shared" si="98"/>
        <v>494324</v>
      </c>
      <c r="J215" s="124" t="str">
        <f t="shared" si="100"/>
        <v>OK</v>
      </c>
      <c r="K215" s="125"/>
      <c r="L215" s="125">
        <f t="shared" si="101"/>
        <v>0</v>
      </c>
      <c r="M215" s="124" t="str">
        <f t="shared" si="102"/>
        <v>OK</v>
      </c>
      <c r="N215" s="125"/>
      <c r="O215" s="125">
        <f t="shared" si="103"/>
        <v>0</v>
      </c>
      <c r="P215" s="124" t="str">
        <f t="shared" si="104"/>
        <v>OK</v>
      </c>
      <c r="Q215" s="125"/>
      <c r="R215" s="125">
        <f t="shared" si="105"/>
        <v>0</v>
      </c>
      <c r="S215" s="124" t="str">
        <f t="shared" si="106"/>
        <v>OK</v>
      </c>
    </row>
    <row r="216" spans="1:19" ht="76.5" x14ac:dyDescent="0.25">
      <c r="A216" s="243" t="s">
        <v>456</v>
      </c>
      <c r="B216" s="243"/>
      <c r="C216" s="244" t="s">
        <v>457</v>
      </c>
      <c r="D216" s="243" t="s">
        <v>407</v>
      </c>
      <c r="E216" s="245">
        <v>18</v>
      </c>
      <c r="F216" s="246">
        <v>23232</v>
      </c>
      <c r="G216" s="236">
        <f t="shared" si="99"/>
        <v>418176</v>
      </c>
      <c r="H216" s="125">
        <v>23232</v>
      </c>
      <c r="I216" s="125">
        <f t="shared" si="98"/>
        <v>418176</v>
      </c>
      <c r="J216" s="124" t="str">
        <f t="shared" si="100"/>
        <v>OK</v>
      </c>
      <c r="K216" s="125"/>
      <c r="L216" s="125">
        <f t="shared" si="101"/>
        <v>0</v>
      </c>
      <c r="M216" s="124" t="str">
        <f t="shared" si="102"/>
        <v>OK</v>
      </c>
      <c r="N216" s="125"/>
      <c r="O216" s="125">
        <f t="shared" si="103"/>
        <v>0</v>
      </c>
      <c r="P216" s="124" t="str">
        <f t="shared" si="104"/>
        <v>OK</v>
      </c>
      <c r="Q216" s="125"/>
      <c r="R216" s="125">
        <f t="shared" si="105"/>
        <v>0</v>
      </c>
      <c r="S216" s="124" t="str">
        <f t="shared" si="106"/>
        <v>OK</v>
      </c>
    </row>
    <row r="217" spans="1:19" ht="15" x14ac:dyDescent="0.25">
      <c r="A217" s="307"/>
      <c r="B217" s="307"/>
      <c r="C217" s="308" t="s">
        <v>130</v>
      </c>
      <c r="D217" s="307"/>
      <c r="E217" s="309"/>
      <c r="F217" s="310"/>
      <c r="G217" s="236"/>
      <c r="H217" s="125"/>
      <c r="I217" s="125"/>
      <c r="J217" s="124"/>
      <c r="K217" s="125"/>
      <c r="L217" s="125"/>
      <c r="M217" s="124"/>
      <c r="N217" s="125"/>
      <c r="O217" s="125"/>
      <c r="P217" s="124"/>
      <c r="Q217" s="125"/>
      <c r="R217" s="125"/>
      <c r="S217" s="124"/>
    </row>
    <row r="218" spans="1:19" ht="15" x14ac:dyDescent="0.25">
      <c r="A218" s="307" t="s">
        <v>458</v>
      </c>
      <c r="B218" s="307"/>
      <c r="C218" s="308" t="s">
        <v>459</v>
      </c>
      <c r="D218" s="307"/>
      <c r="E218" s="309"/>
      <c r="F218" s="310"/>
      <c r="G218" s="236"/>
      <c r="H218" s="125"/>
      <c r="I218" s="125"/>
      <c r="J218" s="124"/>
      <c r="K218" s="125"/>
      <c r="L218" s="125"/>
      <c r="M218" s="124"/>
      <c r="N218" s="125"/>
      <c r="O218" s="125"/>
      <c r="P218" s="124"/>
      <c r="Q218" s="125"/>
      <c r="R218" s="125"/>
      <c r="S218" s="124"/>
    </row>
    <row r="219" spans="1:19" ht="89.25" x14ac:dyDescent="0.25">
      <c r="A219" s="243" t="s">
        <v>460</v>
      </c>
      <c r="B219" s="243"/>
      <c r="C219" s="244" t="s">
        <v>461</v>
      </c>
      <c r="D219" s="243" t="s">
        <v>402</v>
      </c>
      <c r="E219" s="245">
        <v>4</v>
      </c>
      <c r="F219" s="246">
        <v>20210213</v>
      </c>
      <c r="G219" s="236">
        <f t="shared" si="99"/>
        <v>80840852</v>
      </c>
      <c r="H219" s="125">
        <v>20210213</v>
      </c>
      <c r="I219" s="125">
        <f t="shared" si="98"/>
        <v>80840852</v>
      </c>
      <c r="J219" s="124" t="str">
        <f t="shared" si="100"/>
        <v>OK</v>
      </c>
      <c r="K219" s="125"/>
      <c r="L219" s="125">
        <f t="shared" si="101"/>
        <v>0</v>
      </c>
      <c r="M219" s="124" t="str">
        <f t="shared" si="102"/>
        <v>OK</v>
      </c>
      <c r="N219" s="125"/>
      <c r="O219" s="125">
        <f t="shared" ref="O219:O220" si="107">ROUND($E219*N219,0)</f>
        <v>0</v>
      </c>
      <c r="P219" s="124" t="str">
        <f t="shared" ref="P219:P220" si="108">+IF(N219&lt;=$F219,"OK","NO OK")</f>
        <v>OK</v>
      </c>
      <c r="Q219" s="125"/>
      <c r="R219" s="125">
        <f t="shared" ref="R219:R220" si="109">ROUND($E219*Q219,0)</f>
        <v>0</v>
      </c>
      <c r="S219" s="124" t="str">
        <f t="shared" ref="S219:S220" si="110">+IF(Q219&lt;=$F219,"OK","NO OK")</f>
        <v>OK</v>
      </c>
    </row>
    <row r="220" spans="1:19" ht="63.75" x14ac:dyDescent="0.25">
      <c r="A220" s="243" t="s">
        <v>462</v>
      </c>
      <c r="B220" s="243"/>
      <c r="C220" s="244" t="s">
        <v>463</v>
      </c>
      <c r="D220" s="243" t="s">
        <v>402</v>
      </c>
      <c r="E220" s="245">
        <v>15</v>
      </c>
      <c r="F220" s="246">
        <v>804250</v>
      </c>
      <c r="G220" s="236">
        <f t="shared" si="99"/>
        <v>12063750</v>
      </c>
      <c r="H220" s="125">
        <v>804250</v>
      </c>
      <c r="I220" s="125">
        <f t="shared" si="98"/>
        <v>12063750</v>
      </c>
      <c r="J220" s="124" t="str">
        <f t="shared" si="100"/>
        <v>OK</v>
      </c>
      <c r="K220" s="125"/>
      <c r="L220" s="125">
        <f t="shared" si="101"/>
        <v>0</v>
      </c>
      <c r="M220" s="124" t="str">
        <f t="shared" si="102"/>
        <v>OK</v>
      </c>
      <c r="N220" s="125"/>
      <c r="O220" s="125">
        <f t="shared" si="107"/>
        <v>0</v>
      </c>
      <c r="P220" s="124" t="str">
        <f t="shared" si="108"/>
        <v>OK</v>
      </c>
      <c r="Q220" s="125"/>
      <c r="R220" s="125">
        <f t="shared" si="109"/>
        <v>0</v>
      </c>
      <c r="S220" s="124" t="str">
        <f t="shared" si="110"/>
        <v>OK</v>
      </c>
    </row>
    <row r="221" spans="1:19" ht="15" x14ac:dyDescent="0.25">
      <c r="A221" s="307"/>
      <c r="B221" s="307"/>
      <c r="C221" s="308" t="s">
        <v>130</v>
      </c>
      <c r="D221" s="307"/>
      <c r="E221" s="309"/>
      <c r="F221" s="310"/>
      <c r="G221" s="236"/>
      <c r="H221" s="125"/>
      <c r="I221" s="125"/>
      <c r="J221" s="124"/>
      <c r="K221" s="125"/>
      <c r="L221" s="125"/>
      <c r="M221" s="124"/>
      <c r="N221" s="125"/>
      <c r="O221" s="125"/>
      <c r="P221" s="124"/>
      <c r="Q221" s="125"/>
      <c r="R221" s="125"/>
      <c r="S221" s="124"/>
    </row>
    <row r="222" spans="1:19" ht="15" x14ac:dyDescent="0.25">
      <c r="A222" s="79"/>
      <c r="B222" s="234"/>
      <c r="C222" s="126"/>
      <c r="D222" s="79"/>
      <c r="E222" s="80"/>
      <c r="F222" s="125"/>
      <c r="G222" s="125"/>
      <c r="H222" s="125"/>
      <c r="I222" s="125"/>
      <c r="J222" s="124"/>
      <c r="K222" s="125"/>
      <c r="L222" s="125"/>
      <c r="M222" s="124"/>
      <c r="N222" s="125"/>
      <c r="O222" s="125"/>
      <c r="P222" s="124"/>
      <c r="Q222" s="125"/>
      <c r="R222" s="125"/>
      <c r="S222" s="124"/>
    </row>
    <row r="223" spans="1:19" ht="25.5" x14ac:dyDescent="0.25">
      <c r="A223" s="79"/>
      <c r="B223" s="234"/>
      <c r="C223" s="144" t="s">
        <v>81</v>
      </c>
      <c r="D223" s="79"/>
      <c r="E223" s="79"/>
      <c r="F223" s="81"/>
      <c r="G223" s="145">
        <f>SUM(G8:G222)</f>
        <v>6912127335</v>
      </c>
      <c r="H223" s="81"/>
      <c r="I223" s="145">
        <f>SUM(I8:I222)</f>
        <v>6912127335</v>
      </c>
      <c r="J223" s="79"/>
      <c r="K223" s="81"/>
      <c r="L223" s="145">
        <f>SUM(L8:L222)</f>
        <v>0</v>
      </c>
      <c r="M223" s="79"/>
      <c r="N223" s="81"/>
      <c r="O223" s="145">
        <f>SUM(O8:O222)</f>
        <v>0</v>
      </c>
      <c r="P223" s="79"/>
      <c r="Q223" s="81"/>
      <c r="R223" s="145">
        <f>SUM(R8:R222)</f>
        <v>0</v>
      </c>
      <c r="S223" s="79"/>
    </row>
    <row r="224" spans="1:19" x14ac:dyDescent="0.25">
      <c r="A224" s="79"/>
      <c r="B224" s="234"/>
      <c r="C224" s="128"/>
      <c r="D224" s="79"/>
      <c r="E224" s="79"/>
      <c r="F224" s="81"/>
      <c r="G224" s="129"/>
      <c r="H224" s="81"/>
      <c r="I224" s="145"/>
      <c r="J224" s="79"/>
      <c r="K224" s="81"/>
      <c r="L224" s="145"/>
      <c r="M224" s="79"/>
      <c r="N224" s="81"/>
      <c r="O224" s="145"/>
      <c r="P224" s="79"/>
      <c r="Q224" s="81"/>
      <c r="R224" s="145"/>
      <c r="S224" s="79"/>
    </row>
    <row r="225" spans="1:19" x14ac:dyDescent="0.25">
      <c r="A225" s="79"/>
      <c r="B225" s="234"/>
      <c r="C225" s="128" t="s">
        <v>3</v>
      </c>
      <c r="D225" s="79"/>
      <c r="E225" s="79"/>
      <c r="F225" s="81"/>
      <c r="G225" s="145">
        <f>ROUND(G$223/(1+SUM(D226:D228,D230*D228)),2)</f>
        <v>5369059604.6300001</v>
      </c>
      <c r="H225" s="81"/>
      <c r="I225" s="145">
        <f>ROUND(I$223/(1+SUM(H226:H228,H230*H228)),2)</f>
        <v>5369059604.6300001</v>
      </c>
      <c r="J225" s="79"/>
      <c r="K225" s="81"/>
      <c r="L225" s="145">
        <f>ROUND(L$223/(1+SUM(K226:K228,K230*K228)),2)</f>
        <v>0</v>
      </c>
      <c r="M225" s="79"/>
      <c r="N225" s="81"/>
      <c r="O225" s="145">
        <f>ROUND(O$223/(1+SUM(N226:N228,N230*N228)),2)</f>
        <v>0</v>
      </c>
      <c r="P225" s="79"/>
      <c r="Q225" s="81"/>
      <c r="R225" s="145">
        <f>ROUND(R$223/(1+SUM(Q226:Q228,Q230*Q228)),2)</f>
        <v>0</v>
      </c>
      <c r="S225" s="79"/>
    </row>
    <row r="226" spans="1:19" x14ac:dyDescent="0.25">
      <c r="A226" s="123"/>
      <c r="B226" s="234"/>
      <c r="C226" s="130" t="s">
        <v>12</v>
      </c>
      <c r="D226" s="131">
        <v>0.19789999999999999</v>
      </c>
      <c r="E226" s="123"/>
      <c r="F226" s="127"/>
      <c r="G226" s="146">
        <f>ROUND(G$225*$D226,2)</f>
        <v>1062536895.76</v>
      </c>
      <c r="H226" s="132">
        <v>0.19789999999999999</v>
      </c>
      <c r="I226" s="146">
        <f>ROUND(I$225*H226,0)</f>
        <v>1062536896</v>
      </c>
      <c r="J226" s="123"/>
      <c r="K226" s="132">
        <v>0</v>
      </c>
      <c r="L226" s="146">
        <f>ROUND(L$225*K226,0)</f>
        <v>0</v>
      </c>
      <c r="M226" s="123"/>
      <c r="N226" s="132">
        <v>0</v>
      </c>
      <c r="O226" s="146">
        <f>ROUND(O$225*N226,0)</f>
        <v>0</v>
      </c>
      <c r="P226" s="123"/>
      <c r="Q226" s="132">
        <v>0</v>
      </c>
      <c r="R226" s="146">
        <f>ROUND(R$225*Q226,0)</f>
        <v>0</v>
      </c>
      <c r="S226" s="123"/>
    </row>
    <row r="227" spans="1:19" x14ac:dyDescent="0.25">
      <c r="A227" s="123"/>
      <c r="B227" s="234"/>
      <c r="C227" s="130" t="s">
        <v>13</v>
      </c>
      <c r="D227" s="131">
        <v>0.03</v>
      </c>
      <c r="E227" s="123"/>
      <c r="F227" s="127"/>
      <c r="G227" s="146">
        <f>ROUND(G$225*$D227,2)</f>
        <v>161071788.13999999</v>
      </c>
      <c r="H227" s="132">
        <v>0.03</v>
      </c>
      <c r="I227" s="146">
        <f>ROUND(I$225*H227,0)</f>
        <v>161071788</v>
      </c>
      <c r="J227" s="123"/>
      <c r="K227" s="132">
        <v>0</v>
      </c>
      <c r="L227" s="146">
        <f>ROUND(L$225*K227,0)</f>
        <v>0</v>
      </c>
      <c r="M227" s="123"/>
      <c r="N227" s="132">
        <v>0</v>
      </c>
      <c r="O227" s="146">
        <f>ROUND(O$225*N227,0)</f>
        <v>0</v>
      </c>
      <c r="P227" s="123"/>
      <c r="Q227" s="132">
        <v>0</v>
      </c>
      <c r="R227" s="146">
        <f>ROUND(R$225*Q227,0)</f>
        <v>0</v>
      </c>
      <c r="S227" s="123"/>
    </row>
    <row r="228" spans="1:19" x14ac:dyDescent="0.25">
      <c r="A228" s="123"/>
      <c r="B228" s="234"/>
      <c r="C228" s="130" t="s">
        <v>4</v>
      </c>
      <c r="D228" s="131">
        <v>0.05</v>
      </c>
      <c r="E228" s="123"/>
      <c r="F228" s="127"/>
      <c r="G228" s="146">
        <f>ROUND(G$225*$D228,2)</f>
        <v>268452980.23000002</v>
      </c>
      <c r="H228" s="132">
        <v>0.05</v>
      </c>
      <c r="I228" s="146">
        <f>ROUND(I$225*H228,0)</f>
        <v>268452980</v>
      </c>
      <c r="J228" s="123"/>
      <c r="K228" s="132">
        <v>0</v>
      </c>
      <c r="L228" s="146">
        <f>ROUND(L$225*K228,0)</f>
        <v>0</v>
      </c>
      <c r="M228" s="123"/>
      <c r="N228" s="132">
        <v>0</v>
      </c>
      <c r="O228" s="146">
        <f>ROUND(O$225*N228,0)</f>
        <v>0</v>
      </c>
      <c r="P228" s="123"/>
      <c r="Q228" s="132">
        <v>0</v>
      </c>
      <c r="R228" s="146">
        <f>ROUND(R$225*Q228,0)</f>
        <v>0</v>
      </c>
      <c r="S228" s="123"/>
    </row>
    <row r="229" spans="1:19" x14ac:dyDescent="0.25">
      <c r="A229" s="123"/>
      <c r="B229" s="234"/>
      <c r="C229" s="133" t="s">
        <v>5</v>
      </c>
      <c r="D229" s="134">
        <f>SUM(D226:D228)</f>
        <v>0.27789999999999998</v>
      </c>
      <c r="E229" s="123"/>
      <c r="F229" s="127"/>
      <c r="G229" s="147">
        <f>SUM(G226:G228)</f>
        <v>1492061664.1300001</v>
      </c>
      <c r="H229" s="132">
        <f>SUM(H226:H228)</f>
        <v>0.27789999999999998</v>
      </c>
      <c r="I229" s="147">
        <f>SUM(I226:I228)</f>
        <v>1492061664</v>
      </c>
      <c r="J229" s="123" t="str">
        <f>+IF(H229&lt;=$D$229,"OK","NO OK")</f>
        <v>OK</v>
      </c>
      <c r="K229" s="132">
        <f>SUM(K226:K228)</f>
        <v>0</v>
      </c>
      <c r="L229" s="147">
        <f>SUM(L226:L228)</f>
        <v>0</v>
      </c>
      <c r="M229" s="123" t="str">
        <f>+IF(K229&lt;=$D$229,"OK","NO OK")</f>
        <v>OK</v>
      </c>
      <c r="N229" s="132">
        <f>SUM(N226:N228)</f>
        <v>0</v>
      </c>
      <c r="O229" s="147">
        <f>SUM(O226:O228)</f>
        <v>0</v>
      </c>
      <c r="P229" s="123" t="str">
        <f>+IF(N229&lt;=$D$229,"OK","NO OK")</f>
        <v>OK</v>
      </c>
      <c r="Q229" s="132">
        <f>SUM(Q226:Q228)</f>
        <v>0</v>
      </c>
      <c r="R229" s="147">
        <f>SUM(R226:R228)</f>
        <v>0</v>
      </c>
      <c r="S229" s="123" t="str">
        <f>+IF(Q229&lt;=$D$229,"OK","NO OK")</f>
        <v>OK</v>
      </c>
    </row>
    <row r="230" spans="1:19" x14ac:dyDescent="0.25">
      <c r="A230" s="123"/>
      <c r="B230" s="234"/>
      <c r="C230" s="135" t="s">
        <v>6</v>
      </c>
      <c r="D230" s="136">
        <v>0.19</v>
      </c>
      <c r="E230" s="123"/>
      <c r="F230" s="127"/>
      <c r="G230" s="146">
        <f>ROUND(G225*D228*D230,2)</f>
        <v>51006066.240000002</v>
      </c>
      <c r="H230" s="132">
        <v>0.19</v>
      </c>
      <c r="I230" s="146">
        <f>ROUND(I225*H228*H230,0)</f>
        <v>51006066</v>
      </c>
      <c r="J230" s="123"/>
      <c r="K230" s="132">
        <v>0.19</v>
      </c>
      <c r="L230" s="146">
        <f>ROUND(L225*K228*K230,0)</f>
        <v>0</v>
      </c>
      <c r="M230" s="123"/>
      <c r="N230" s="132">
        <v>0.19</v>
      </c>
      <c r="O230" s="146">
        <f>ROUND(O225*N228*N230,0)</f>
        <v>0</v>
      </c>
      <c r="P230" s="123"/>
      <c r="Q230" s="132">
        <v>0.19</v>
      </c>
      <c r="R230" s="146">
        <f>ROUND(R225*Q228*Q230,0)</f>
        <v>0</v>
      </c>
      <c r="S230" s="123"/>
    </row>
    <row r="231" spans="1:19" x14ac:dyDescent="0.25">
      <c r="A231" s="123"/>
      <c r="B231" s="235"/>
      <c r="C231" s="137" t="s">
        <v>82</v>
      </c>
      <c r="D231" s="123"/>
      <c r="E231" s="138"/>
      <c r="F231" s="127"/>
      <c r="G231" s="147">
        <f>ROUND(G225+G229+G230,0)</f>
        <v>6912127335</v>
      </c>
      <c r="H231" s="139"/>
      <c r="I231" s="147">
        <f>ROUND(I225+I229+I230,0)</f>
        <v>6912127335</v>
      </c>
      <c r="J231" s="123"/>
      <c r="K231" s="139"/>
      <c r="L231" s="147">
        <f>ROUND(L225+L229+L230,0)</f>
        <v>0</v>
      </c>
      <c r="M231" s="123"/>
      <c r="N231" s="139"/>
      <c r="O231" s="147">
        <f>ROUND(O225+O229+O230,0)</f>
        <v>0</v>
      </c>
      <c r="P231" s="123"/>
      <c r="Q231" s="139"/>
      <c r="R231" s="147">
        <f>ROUND(R225+R229+R230,0)</f>
        <v>0</v>
      </c>
      <c r="S231" s="123"/>
    </row>
    <row r="232" spans="1:19" x14ac:dyDescent="0.25">
      <c r="A232" s="123"/>
      <c r="B232" s="235"/>
      <c r="C232" s="137"/>
      <c r="D232" s="123"/>
      <c r="E232" s="138"/>
      <c r="F232" s="127"/>
      <c r="G232" s="147"/>
      <c r="H232" s="139"/>
      <c r="I232" s="127"/>
      <c r="J232" s="123"/>
      <c r="K232" s="139"/>
      <c r="L232" s="127"/>
      <c r="M232" s="123"/>
      <c r="N232" s="139"/>
      <c r="O232" s="127"/>
      <c r="P232" s="123"/>
      <c r="Q232" s="139"/>
      <c r="R232" s="127"/>
      <c r="S232" s="123"/>
    </row>
    <row r="233" spans="1:19" x14ac:dyDescent="0.25">
      <c r="A233" s="123"/>
      <c r="B233" s="235"/>
      <c r="C233" s="137" t="s">
        <v>77</v>
      </c>
      <c r="D233" s="123"/>
      <c r="E233" s="138"/>
      <c r="F233" s="127"/>
      <c r="G233" s="147"/>
      <c r="H233" s="139"/>
      <c r="I233" s="127"/>
      <c r="J233" s="123"/>
      <c r="K233" s="139"/>
      <c r="L233" s="127"/>
      <c r="M233" s="123"/>
      <c r="N233" s="139"/>
      <c r="O233" s="127"/>
      <c r="P233" s="123"/>
      <c r="Q233" s="139"/>
      <c r="R233" s="127"/>
      <c r="S233" s="123"/>
    </row>
    <row r="234" spans="1:19" x14ac:dyDescent="0.25">
      <c r="A234" s="123"/>
      <c r="B234" s="235"/>
      <c r="C234" s="137" t="s">
        <v>78</v>
      </c>
      <c r="D234" s="123"/>
      <c r="E234" s="138"/>
      <c r="F234" s="127"/>
      <c r="G234" s="147">
        <v>20830936</v>
      </c>
      <c r="H234" s="139"/>
      <c r="I234" s="147">
        <v>20830936</v>
      </c>
      <c r="J234" s="123"/>
      <c r="K234" s="139"/>
      <c r="L234" s="147">
        <v>0</v>
      </c>
      <c r="M234" s="123"/>
      <c r="N234" s="139"/>
      <c r="O234" s="147">
        <v>0</v>
      </c>
      <c r="P234" s="123"/>
      <c r="Q234" s="139"/>
      <c r="R234" s="147">
        <v>0</v>
      </c>
      <c r="S234" s="123"/>
    </row>
    <row r="235" spans="1:19" x14ac:dyDescent="0.25">
      <c r="A235" s="79"/>
      <c r="B235" s="235"/>
      <c r="C235" s="137" t="s">
        <v>79</v>
      </c>
      <c r="D235" s="79"/>
      <c r="E235" s="138"/>
      <c r="F235" s="81"/>
      <c r="G235" s="145">
        <v>6203920</v>
      </c>
      <c r="H235" s="148"/>
      <c r="I235" s="147">
        <v>6203920</v>
      </c>
      <c r="J235" s="79"/>
      <c r="K235" s="148"/>
      <c r="L235" s="147">
        <v>0</v>
      </c>
      <c r="M235" s="79"/>
      <c r="N235" s="148"/>
      <c r="O235" s="147">
        <v>0</v>
      </c>
      <c r="P235" s="79"/>
      <c r="Q235" s="148"/>
      <c r="R235" s="147">
        <v>0</v>
      </c>
      <c r="S235" s="79"/>
    </row>
    <row r="236" spans="1:19" x14ac:dyDescent="0.25">
      <c r="A236" s="79"/>
      <c r="B236" s="235"/>
      <c r="C236" s="137" t="s">
        <v>464</v>
      </c>
      <c r="D236" s="312">
        <v>1.72E-2</v>
      </c>
      <c r="E236" s="138"/>
      <c r="F236" s="81"/>
      <c r="G236" s="145">
        <f>+ROUND(D236*G$225,0)</f>
        <v>92347825</v>
      </c>
      <c r="H236" s="313">
        <v>1.72E-2</v>
      </c>
      <c r="I236" s="147">
        <f>+ROUND(H236*I$225,0)</f>
        <v>92347825</v>
      </c>
      <c r="J236" s="79"/>
      <c r="K236" s="313">
        <v>1.72E-2</v>
      </c>
      <c r="L236" s="147">
        <f>+ROUND(K236*L$225,0)</f>
        <v>0</v>
      </c>
      <c r="M236" s="79"/>
      <c r="N236" s="313">
        <v>1.72E-2</v>
      </c>
      <c r="O236" s="147">
        <f>+ROUND(N236*O$225,0)</f>
        <v>0</v>
      </c>
      <c r="P236" s="79"/>
      <c r="Q236" s="313">
        <v>1.72E-2</v>
      </c>
      <c r="R236" s="147">
        <f>+ROUND(Q236*R$225,0)</f>
        <v>0</v>
      </c>
      <c r="S236" s="79"/>
    </row>
    <row r="237" spans="1:19" x14ac:dyDescent="0.25">
      <c r="A237" s="79"/>
      <c r="B237" s="235"/>
      <c r="C237" s="137" t="s">
        <v>465</v>
      </c>
      <c r="D237" s="312">
        <v>6.7799999999999996E-3</v>
      </c>
      <c r="E237" s="138"/>
      <c r="F237" s="81"/>
      <c r="G237" s="145">
        <f>+ROUND(D237*G$225,0)</f>
        <v>36402224</v>
      </c>
      <c r="H237" s="313">
        <v>6.7799999999999996E-3</v>
      </c>
      <c r="I237" s="147">
        <f>+ROUND(H237*I$225,0)</f>
        <v>36402224</v>
      </c>
      <c r="J237" s="79"/>
      <c r="K237" s="313">
        <v>6.7799999999999996E-3</v>
      </c>
      <c r="L237" s="147">
        <f>+ROUND(K237*L$225,0)</f>
        <v>0</v>
      </c>
      <c r="M237" s="79"/>
      <c r="N237" s="313">
        <v>6.7799999999999996E-3</v>
      </c>
      <c r="O237" s="147">
        <f>+ROUND(N237*O$225,0)</f>
        <v>0</v>
      </c>
      <c r="P237" s="79"/>
      <c r="Q237" s="313">
        <v>6.7799999999999996E-3</v>
      </c>
      <c r="R237" s="147">
        <f>+ROUND(Q237*R$225,0)</f>
        <v>0</v>
      </c>
      <c r="S237" s="79"/>
    </row>
    <row r="238" spans="1:19" x14ac:dyDescent="0.25">
      <c r="A238" s="123"/>
      <c r="B238" s="235"/>
      <c r="C238" s="137"/>
      <c r="D238" s="123"/>
      <c r="E238" s="138"/>
      <c r="F238" s="127"/>
      <c r="G238" s="147"/>
      <c r="H238" s="139"/>
      <c r="I238" s="146"/>
      <c r="J238" s="123"/>
      <c r="K238" s="139"/>
      <c r="L238" s="146"/>
      <c r="M238" s="123"/>
      <c r="N238" s="139"/>
      <c r="O238" s="146"/>
      <c r="P238" s="123"/>
      <c r="Q238" s="139"/>
      <c r="R238" s="146"/>
      <c r="S238" s="123"/>
    </row>
    <row r="239" spans="1:19" x14ac:dyDescent="0.25">
      <c r="A239" s="79"/>
      <c r="B239" s="235"/>
      <c r="C239" s="137" t="s">
        <v>80</v>
      </c>
      <c r="D239" s="79"/>
      <c r="E239" s="138"/>
      <c r="F239" s="81"/>
      <c r="G239" s="145">
        <f>SUM(G231:G238)</f>
        <v>7067912240</v>
      </c>
      <c r="H239" s="148"/>
      <c r="I239" s="146"/>
      <c r="J239" s="79"/>
      <c r="K239" s="148"/>
      <c r="L239" s="146"/>
      <c r="M239" s="79"/>
      <c r="N239" s="148"/>
      <c r="O239" s="146"/>
      <c r="P239" s="79"/>
      <c r="Q239" s="148"/>
      <c r="R239" s="146"/>
      <c r="S239" s="79"/>
    </row>
    <row r="240" spans="1:19" x14ac:dyDescent="0.25">
      <c r="A240" s="123"/>
      <c r="B240" s="235"/>
      <c r="C240" s="137"/>
      <c r="D240" s="123"/>
      <c r="E240" s="138"/>
      <c r="F240" s="127"/>
      <c r="G240" s="147"/>
      <c r="H240" s="139"/>
      <c r="I240" s="146"/>
      <c r="J240" s="123"/>
      <c r="K240" s="139"/>
      <c r="L240" s="146"/>
      <c r="M240" s="123"/>
      <c r="N240" s="139"/>
      <c r="O240" s="146"/>
      <c r="P240" s="123"/>
      <c r="Q240" s="139"/>
      <c r="R240" s="146"/>
      <c r="S240" s="123"/>
    </row>
    <row r="241" spans="1:19" ht="15" x14ac:dyDescent="0.25">
      <c r="A241" s="123"/>
      <c r="B241" s="234"/>
      <c r="C241" s="140" t="s">
        <v>46</v>
      </c>
      <c r="D241" s="123"/>
      <c r="E241" s="123"/>
      <c r="F241" s="123"/>
      <c r="G241" s="123"/>
      <c r="H241" s="79"/>
      <c r="I241" s="149">
        <f>SUM(I231:I240)</f>
        <v>7067912240</v>
      </c>
      <c r="J241" s="124" t="str">
        <f>+IF(I241&lt;=$G239,"OK","NO OK")</f>
        <v>OK</v>
      </c>
      <c r="K241" s="79"/>
      <c r="L241" s="149">
        <f>SUM(L231:L240)</f>
        <v>0</v>
      </c>
      <c r="M241" s="124" t="str">
        <f>+IF(L241&lt;=$G239,"OK","NO OK")</f>
        <v>OK</v>
      </c>
      <c r="N241" s="79"/>
      <c r="O241" s="149">
        <f>SUM(O231:O240)</f>
        <v>0</v>
      </c>
      <c r="P241" s="124" t="str">
        <f>+IF(O241&lt;=$G239,"OK","NO OK")</f>
        <v>OK</v>
      </c>
      <c r="Q241" s="79"/>
      <c r="R241" s="149">
        <f>SUM(R231:R240)</f>
        <v>0</v>
      </c>
      <c r="S241" s="124" t="str">
        <f>+IF(R241&lt;=$G239,"OK","NO OK")</f>
        <v>OK</v>
      </c>
    </row>
    <row r="242" spans="1:19" ht="15" x14ac:dyDescent="0.25">
      <c r="A242" s="79"/>
      <c r="B242" s="234"/>
      <c r="C242" s="141" t="s">
        <v>47</v>
      </c>
      <c r="D242" s="79"/>
      <c r="E242" s="79"/>
      <c r="F242" s="79"/>
      <c r="G242" s="79"/>
      <c r="H242" s="79"/>
      <c r="I242" s="142">
        <f>+ROUND(I241/$G239,4)</f>
        <v>1</v>
      </c>
      <c r="J242" s="124" t="str">
        <f>+IF(I242&gt;=95%,"OK","NO OK")</f>
        <v>OK</v>
      </c>
      <c r="K242" s="79"/>
      <c r="L242" s="142">
        <f>+ROUND(L241/$G239,4)</f>
        <v>0</v>
      </c>
      <c r="M242" s="124" t="str">
        <f>+IF(L242&gt;=95%,"OK","NO OK")</f>
        <v>NO OK</v>
      </c>
      <c r="N242" s="79"/>
      <c r="O242" s="142">
        <f>+ROUND(O241/$G239,4)</f>
        <v>0</v>
      </c>
      <c r="P242" s="124" t="str">
        <f>+IF(O242&gt;=95%,"OK","NO OK")</f>
        <v>NO OK</v>
      </c>
      <c r="Q242" s="79"/>
      <c r="R242" s="142">
        <f>+ROUND(R241/$G239,4)</f>
        <v>0</v>
      </c>
      <c r="S242" s="124" t="str">
        <f>+IF(R242&gt;=95%,"OK","NO OK")</f>
        <v>NO OK</v>
      </c>
    </row>
    <row r="243" spans="1:19" x14ac:dyDescent="0.25">
      <c r="A243" s="79"/>
      <c r="B243" s="234"/>
      <c r="C243" s="141" t="s">
        <v>48</v>
      </c>
      <c r="D243" s="79"/>
      <c r="E243" s="79"/>
      <c r="F243" s="79"/>
      <c r="G243" s="79"/>
      <c r="H243" s="79"/>
      <c r="I243" s="145">
        <v>7067912240</v>
      </c>
      <c r="J243" s="79"/>
      <c r="K243" s="79"/>
      <c r="L243" s="129">
        <v>0</v>
      </c>
      <c r="M243" s="79"/>
      <c r="N243" s="79"/>
      <c r="O243" s="129">
        <v>0</v>
      </c>
      <c r="P243" s="79"/>
      <c r="Q243" s="79"/>
      <c r="R243" s="129">
        <v>0</v>
      </c>
      <c r="S243" s="79"/>
    </row>
    <row r="244" spans="1:19" x14ac:dyDescent="0.25">
      <c r="A244" s="79"/>
      <c r="B244" s="234"/>
      <c r="C244" s="141" t="s">
        <v>49</v>
      </c>
      <c r="D244" s="79"/>
      <c r="E244" s="79"/>
      <c r="F244" s="79"/>
      <c r="G244" s="79"/>
      <c r="H244" s="79"/>
      <c r="I244" s="129">
        <f>+ABS(I241-I243)</f>
        <v>0</v>
      </c>
      <c r="J244" s="79"/>
      <c r="K244" s="79"/>
      <c r="L244" s="129">
        <f>+ABS(L241-L243)</f>
        <v>0</v>
      </c>
      <c r="M244" s="79"/>
      <c r="N244" s="79"/>
      <c r="O244" s="129">
        <f>+ABS(O241-O243)</f>
        <v>0</v>
      </c>
      <c r="P244" s="79"/>
      <c r="Q244" s="79"/>
      <c r="R244" s="129">
        <f>+ABS(R241-R243)</f>
        <v>0</v>
      </c>
      <c r="S244" s="79"/>
    </row>
    <row r="245" spans="1:19" ht="15" x14ac:dyDescent="0.25">
      <c r="A245" s="79"/>
      <c r="B245" s="234"/>
      <c r="C245" s="141" t="s">
        <v>50</v>
      </c>
      <c r="D245" s="79"/>
      <c r="E245" s="79"/>
      <c r="F245" s="79"/>
      <c r="G245" s="79"/>
      <c r="H245" s="79"/>
      <c r="I245" s="150">
        <f>+I244/I243</f>
        <v>0</v>
      </c>
      <c r="J245" s="143" t="str">
        <f>+IF(I245&gt;0.1%,"NO OK","OK")</f>
        <v>OK</v>
      </c>
      <c r="K245" s="79"/>
      <c r="L245" s="150" t="e">
        <f>+L244/L243</f>
        <v>#DIV/0!</v>
      </c>
      <c r="M245" s="143" t="e">
        <f>+IF(L245&gt;0.1%,"NO OK","OK")</f>
        <v>#DIV/0!</v>
      </c>
      <c r="N245" s="79"/>
      <c r="O245" s="150" t="e">
        <f>+O244/O243</f>
        <v>#DIV/0!</v>
      </c>
      <c r="P245" s="143" t="e">
        <f>+IF(O245&gt;0.1%,"NO OK","OK")</f>
        <v>#DIV/0!</v>
      </c>
      <c r="Q245" s="79"/>
      <c r="R245" s="150" t="e">
        <f>+R244/R243</f>
        <v>#DIV/0!</v>
      </c>
      <c r="S245" s="143" t="e">
        <f>+IF(R245&gt;0.1%,"NO OK","OK")</f>
        <v>#DIV/0!</v>
      </c>
    </row>
    <row r="246" spans="1:19" ht="15" x14ac:dyDescent="0.25">
      <c r="A246" s="79"/>
      <c r="B246" s="234"/>
      <c r="C246" s="141" t="s">
        <v>51</v>
      </c>
      <c r="D246" s="79"/>
      <c r="E246" s="79"/>
      <c r="F246" s="79"/>
      <c r="G246" s="79"/>
      <c r="H246" s="79"/>
      <c r="I246" s="79"/>
      <c r="J246" s="143" t="s">
        <v>15</v>
      </c>
      <c r="K246" s="79"/>
      <c r="L246" s="79"/>
      <c r="M246" s="143" t="s">
        <v>15</v>
      </c>
      <c r="N246" s="79"/>
      <c r="O246" s="79"/>
      <c r="P246" s="143" t="s">
        <v>15</v>
      </c>
      <c r="Q246" s="79"/>
      <c r="R246" s="79"/>
      <c r="S246" s="143" t="s">
        <v>15</v>
      </c>
    </row>
    <row r="247" spans="1:19" ht="15" x14ac:dyDescent="0.25">
      <c r="A247" s="79"/>
      <c r="B247" s="234"/>
      <c r="C247" s="141" t="s">
        <v>52</v>
      </c>
      <c r="D247" s="79"/>
      <c r="E247" s="79"/>
      <c r="F247" s="79"/>
      <c r="G247" s="79"/>
      <c r="H247" s="408" t="str">
        <f>+IF(J241="OK",IF(J242="OK",IF(J245="OK",IF(J246="OK",IF(J229="OK","SI","NO"),"NO"),"NO"),"NO"),"NO")</f>
        <v>SI</v>
      </c>
      <c r="I247" s="409"/>
      <c r="J247" s="410"/>
      <c r="K247" s="408" t="str">
        <f>+IF(M241="OK",IF(M242="OK",IF(M245="OK",IF(M246="OK",IF(M229="OK","SI","NO"),"NO"),"NO"),"NO"),"NO")</f>
        <v>NO</v>
      </c>
      <c r="L247" s="409"/>
      <c r="M247" s="410"/>
      <c r="N247" s="408" t="str">
        <f>+IF(P241="OK",IF(P242="OK",IF(P245="OK",IF(P246="OK",IF(P229="OK","SI","NO"),"NO"),"NO"),"NO"),"NO")</f>
        <v>NO</v>
      </c>
      <c r="O247" s="409"/>
      <c r="P247" s="410"/>
      <c r="Q247" s="408" t="str">
        <f>+IF(S241="OK",IF(S242="OK",IF(S245="OK",IF(S246="OK",IF(S229="OK","SI","NO"),"NO"),"NO"),"NO"),"NO")</f>
        <v>NO</v>
      </c>
      <c r="R247" s="409"/>
      <c r="S247" s="410"/>
    </row>
    <row r="249" spans="1:19" ht="15.75" x14ac:dyDescent="0.25">
      <c r="C249" s="31" t="s">
        <v>35</v>
      </c>
      <c r="H249" s="31"/>
      <c r="I249" s="39"/>
      <c r="J249" s="39"/>
      <c r="K249" s="31"/>
      <c r="L249" s="39"/>
      <c r="M249" s="39"/>
      <c r="N249" s="31"/>
      <c r="O249" s="39"/>
      <c r="P249" s="39"/>
      <c r="Q249" s="31"/>
      <c r="R249" s="39"/>
      <c r="S249" s="39"/>
    </row>
    <row r="250" spans="1:19" x14ac:dyDescent="0.25">
      <c r="H250" s="38"/>
      <c r="I250" s="39"/>
      <c r="J250" s="39"/>
      <c r="K250" s="38"/>
      <c r="L250" s="39"/>
      <c r="M250" s="39"/>
      <c r="N250" s="38"/>
      <c r="O250" s="39"/>
      <c r="P250" s="39"/>
      <c r="Q250" s="38"/>
      <c r="R250" s="39"/>
      <c r="S250" s="39"/>
    </row>
    <row r="251" spans="1:19" x14ac:dyDescent="0.25">
      <c r="H251" s="38"/>
      <c r="I251" s="39"/>
      <c r="J251" s="39"/>
      <c r="K251" s="38"/>
      <c r="L251" s="39"/>
      <c r="M251" s="39"/>
      <c r="N251" s="38"/>
      <c r="O251" s="39"/>
      <c r="P251" s="39"/>
      <c r="Q251" s="38"/>
      <c r="R251" s="39"/>
      <c r="S251" s="39"/>
    </row>
    <row r="252" spans="1:19" x14ac:dyDescent="0.25">
      <c r="H252" s="38"/>
      <c r="I252" s="39"/>
      <c r="J252" s="39"/>
      <c r="K252" s="38"/>
      <c r="L252" s="39"/>
      <c r="M252" s="39"/>
      <c r="N252" s="38"/>
      <c r="O252" s="39"/>
      <c r="P252" s="39"/>
      <c r="Q252" s="38"/>
      <c r="R252" s="39"/>
      <c r="S252" s="39"/>
    </row>
    <row r="253" spans="1:19" ht="15.75" x14ac:dyDescent="0.25">
      <c r="C253" s="41" t="s">
        <v>36</v>
      </c>
      <c r="D253" s="41"/>
      <c r="H253" s="41"/>
      <c r="I253" s="39"/>
      <c r="J253" s="41"/>
      <c r="K253" s="41"/>
      <c r="L253" s="39"/>
      <c r="M253" s="41"/>
      <c r="N253" s="41"/>
      <c r="O253" s="39"/>
      <c r="P253" s="41"/>
      <c r="Q253" s="41"/>
      <c r="R253" s="39"/>
      <c r="S253" s="41"/>
    </row>
    <row r="254" spans="1:19" ht="15.75" x14ac:dyDescent="0.25">
      <c r="C254" s="42" t="s">
        <v>70</v>
      </c>
      <c r="D254" s="42"/>
      <c r="H254" s="42"/>
      <c r="I254" s="39"/>
      <c r="J254" s="42"/>
      <c r="K254" s="42"/>
      <c r="L254" s="39"/>
      <c r="M254" s="42"/>
      <c r="N254" s="42"/>
      <c r="O254" s="39"/>
      <c r="P254" s="42"/>
      <c r="Q254" s="42"/>
      <c r="R254" s="39"/>
      <c r="S254" s="42"/>
    </row>
    <row r="255" spans="1:19" ht="15.75" x14ac:dyDescent="0.25">
      <c r="C255" s="42"/>
      <c r="H255" s="42"/>
      <c r="I255" s="39"/>
      <c r="J255" s="39"/>
      <c r="K255" s="42"/>
      <c r="L255" s="39"/>
      <c r="M255" s="39"/>
      <c r="N255" s="42"/>
      <c r="O255" s="39"/>
      <c r="P255" s="39"/>
      <c r="Q255" s="42"/>
      <c r="R255" s="39"/>
      <c r="S255" s="39"/>
    </row>
    <row r="256" spans="1:19" ht="15.75" x14ac:dyDescent="0.25">
      <c r="C256" s="42"/>
      <c r="H256" s="42"/>
      <c r="I256" s="43"/>
      <c r="J256" s="43"/>
      <c r="K256" s="42"/>
      <c r="L256" s="43"/>
      <c r="M256" s="43"/>
      <c r="N256" s="42"/>
      <c r="O256" s="43"/>
      <c r="P256" s="43"/>
      <c r="Q256" s="42"/>
      <c r="R256" s="43"/>
      <c r="S256" s="43"/>
    </row>
    <row r="257" spans="3:19" ht="15.75" x14ac:dyDescent="0.25">
      <c r="C257" s="42"/>
      <c r="H257" s="42"/>
      <c r="I257" s="43"/>
      <c r="J257" s="43"/>
      <c r="K257" s="42"/>
      <c r="L257" s="43"/>
      <c r="M257" s="43"/>
      <c r="N257" s="42"/>
      <c r="O257" s="43"/>
      <c r="P257" s="43"/>
      <c r="Q257" s="42"/>
      <c r="R257" s="43"/>
      <c r="S257" s="43"/>
    </row>
    <row r="258" spans="3:19" ht="15.75" x14ac:dyDescent="0.25">
      <c r="C258" s="41" t="s">
        <v>37</v>
      </c>
      <c r="D258" s="41"/>
      <c r="H258" s="41"/>
      <c r="I258" s="41"/>
      <c r="J258" s="41"/>
      <c r="K258" s="41"/>
      <c r="L258" s="41"/>
      <c r="M258" s="41"/>
      <c r="N258" s="41"/>
      <c r="O258" s="41"/>
      <c r="P258" s="41"/>
      <c r="Q258" s="41"/>
      <c r="R258" s="41"/>
      <c r="S258" s="41"/>
    </row>
    <row r="259" spans="3:19" ht="15.75" x14ac:dyDescent="0.25">
      <c r="C259" s="42" t="s">
        <v>38</v>
      </c>
      <c r="D259" s="42"/>
      <c r="H259" s="42"/>
      <c r="I259" s="43"/>
      <c r="J259" s="43"/>
      <c r="K259" s="42"/>
      <c r="L259" s="43"/>
      <c r="M259" s="43"/>
      <c r="N259" s="42"/>
      <c r="O259" s="43"/>
      <c r="P259" s="43"/>
      <c r="Q259" s="42"/>
      <c r="R259" s="43"/>
      <c r="S259" s="43"/>
    </row>
    <row r="260" spans="3:19" ht="15.75" x14ac:dyDescent="0.25">
      <c r="C260" s="42" t="s">
        <v>39</v>
      </c>
      <c r="H260" s="42"/>
      <c r="I260" s="43"/>
      <c r="J260" s="43"/>
      <c r="K260" s="42"/>
      <c r="L260" s="43"/>
      <c r="M260" s="43"/>
      <c r="N260" s="42"/>
      <c r="O260" s="43"/>
      <c r="P260" s="43"/>
      <c r="Q260" s="42"/>
      <c r="R260" s="43"/>
      <c r="S260" s="43"/>
    </row>
  </sheetData>
  <mergeCells count="25">
    <mergeCell ref="N3:P4"/>
    <mergeCell ref="N5:P5"/>
    <mergeCell ref="N6:N7"/>
    <mergeCell ref="O6:O7"/>
    <mergeCell ref="N247:P247"/>
    <mergeCell ref="A5:G5"/>
    <mergeCell ref="H5:J5"/>
    <mergeCell ref="K5:M5"/>
    <mergeCell ref="A1:G1"/>
    <mergeCell ref="A2:G2"/>
    <mergeCell ref="A3:G4"/>
    <mergeCell ref="H3:J4"/>
    <mergeCell ref="K3:M4"/>
    <mergeCell ref="H247:J247"/>
    <mergeCell ref="K247:M247"/>
    <mergeCell ref="L6:L7"/>
    <mergeCell ref="A6:G6"/>
    <mergeCell ref="H6:H7"/>
    <mergeCell ref="I6:I7"/>
    <mergeCell ref="K6:K7"/>
    <mergeCell ref="Q3:S4"/>
    <mergeCell ref="Q5:S5"/>
    <mergeCell ref="Q6:Q7"/>
    <mergeCell ref="R6:R7"/>
    <mergeCell ref="Q247:S24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J222">
    <cfRule type="containsText" dxfId="35" priority="59" operator="containsText" text="NO OK">
      <formula>NOT(ISERROR(SEARCH("NO OK",J9)))</formula>
    </cfRule>
  </conditionalFormatting>
  <conditionalFormatting sqref="J245">
    <cfRule type="containsText" dxfId="34" priority="58" operator="containsText" text="NO OK">
      <formula>NOT(ISERROR(SEARCH("NO OK",J245)))</formula>
    </cfRule>
  </conditionalFormatting>
  <conditionalFormatting sqref="J241:J242">
    <cfRule type="containsText" dxfId="33" priority="57" operator="containsText" text="NO OK">
      <formula>NOT(ISERROR(SEARCH("NO OK",J241)))</formula>
    </cfRule>
  </conditionalFormatting>
  <conditionalFormatting sqref="J246">
    <cfRule type="containsText" dxfId="32" priority="56" operator="containsText" text="NO OK">
      <formula>NOT(ISERROR(SEARCH("NO OK",J246)))</formula>
    </cfRule>
  </conditionalFormatting>
  <conditionalFormatting sqref="J229">
    <cfRule type="cellIs" dxfId="31" priority="55" operator="equal">
      <formula>"NO OK"</formula>
    </cfRule>
  </conditionalFormatting>
  <conditionalFormatting sqref="H247">
    <cfRule type="containsText" dxfId="30" priority="54" operator="containsText" text="NO">
      <formula>NOT(ISERROR(SEARCH("NO",H247)))</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M222">
    <cfRule type="containsText" dxfId="29" priority="53" operator="containsText" text="NO OK">
      <formula>NOT(ISERROR(SEARCH("NO OK",M9)))</formula>
    </cfRule>
  </conditionalFormatting>
  <conditionalFormatting sqref="M245">
    <cfRule type="containsText" dxfId="28" priority="52" operator="containsText" text="NO OK">
      <formula>NOT(ISERROR(SEARCH("NO OK",M245)))</formula>
    </cfRule>
  </conditionalFormatting>
  <conditionalFormatting sqref="M242">
    <cfRule type="containsText" dxfId="27" priority="51" operator="containsText" text="NO OK">
      <formula>NOT(ISERROR(SEARCH("NO OK",M242)))</formula>
    </cfRule>
  </conditionalFormatting>
  <conditionalFormatting sqref="M246">
    <cfRule type="containsText" dxfId="26" priority="50" operator="containsText" text="NO OK">
      <formula>NOT(ISERROR(SEARCH("NO OK",M246)))</formula>
    </cfRule>
  </conditionalFormatting>
  <conditionalFormatting sqref="M229">
    <cfRule type="cellIs" dxfId="25" priority="49" operator="equal">
      <formula>"NO OK"</formula>
    </cfRule>
  </conditionalFormatting>
  <conditionalFormatting sqref="K247">
    <cfRule type="containsText" dxfId="24" priority="48" operator="containsText" text="NO">
      <formula>NOT(ISERROR(SEARCH("NO",K247)))</formula>
    </cfRule>
  </conditionalFormatting>
  <conditionalFormatting sqref="H247:M247">
    <cfRule type="containsText" dxfId="23" priority="41" operator="containsText" text="SI">
      <formula>NOT(ISERROR(SEARCH("SI",H247)))</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cfRule type="containsText" dxfId="22" priority="25"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cfRule type="containsText" dxfId="21" priority="24" operator="containsText" text="NO OK">
      <formula>NOT(ISERROR(SEARCH("NO OK",M10)))</formula>
    </cfRule>
  </conditionalFormatting>
  <conditionalFormatting sqref="M241">
    <cfRule type="containsText" dxfId="20" priority="19" operator="containsText" text="NO OK">
      <formula>NOT(ISERROR(SEARCH("NO OK",M241)))</formula>
    </cfRule>
  </conditionalFormatting>
  <conditionalFormatting sqref="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P222">
    <cfRule type="containsText" dxfId="19" priority="18" operator="containsText" text="NO OK">
      <formula>NOT(ISERROR(SEARCH("NO OK",P9)))</formula>
    </cfRule>
  </conditionalFormatting>
  <conditionalFormatting sqref="P245">
    <cfRule type="containsText" dxfId="18" priority="17" operator="containsText" text="NO OK">
      <formula>NOT(ISERROR(SEARCH("NO OK",P245)))</formula>
    </cfRule>
  </conditionalFormatting>
  <conditionalFormatting sqref="P242">
    <cfRule type="containsText" dxfId="17" priority="16" operator="containsText" text="NO OK">
      <formula>NOT(ISERROR(SEARCH("NO OK",P242)))</formula>
    </cfRule>
  </conditionalFormatting>
  <conditionalFormatting sqref="P246">
    <cfRule type="containsText" dxfId="16" priority="15" operator="containsText" text="NO OK">
      <formula>NOT(ISERROR(SEARCH("NO OK",P246)))</formula>
    </cfRule>
  </conditionalFormatting>
  <conditionalFormatting sqref="P229">
    <cfRule type="cellIs" dxfId="15" priority="14" operator="equal">
      <formula>"NO OK"</formula>
    </cfRule>
  </conditionalFormatting>
  <conditionalFormatting sqref="N247">
    <cfRule type="containsText" dxfId="14" priority="13" operator="containsText" text="NO">
      <formula>NOT(ISERROR(SEARCH("NO",N247)))</formula>
    </cfRule>
  </conditionalFormatting>
  <conditionalFormatting sqref="N247:P247">
    <cfRule type="containsText" dxfId="13" priority="12" operator="containsText" text="SI">
      <formula>NOT(ISERROR(SEARCH("SI",N247)))</formula>
    </cfRule>
  </conditionalFormatting>
  <conditionalFormatting sqref="P10 P12 P14 P16 P18 P20 P22 P24 P26 P28 P30 P32 P34 P36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cfRule type="containsText" dxfId="12" priority="11" operator="containsText" text="NO OK">
      <formula>NOT(ISERROR(SEARCH("NO OK",P10)))</formula>
    </cfRule>
  </conditionalFormatting>
  <conditionalFormatting sqref="P241">
    <cfRule type="containsText" dxfId="11" priority="10" operator="containsText" text="NO OK">
      <formula>NOT(ISERROR(SEARCH("NO OK",P241)))</formula>
    </cfRule>
  </conditionalFormatting>
  <conditionalFormatting sqref="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S222">
    <cfRule type="containsText" dxfId="10" priority="9" operator="containsText" text="NO OK">
      <formula>NOT(ISERROR(SEARCH("NO OK",S9)))</formula>
    </cfRule>
  </conditionalFormatting>
  <conditionalFormatting sqref="S245">
    <cfRule type="containsText" dxfId="9" priority="8" operator="containsText" text="NO OK">
      <formula>NOT(ISERROR(SEARCH("NO OK",S245)))</formula>
    </cfRule>
  </conditionalFormatting>
  <conditionalFormatting sqref="S242">
    <cfRule type="containsText" dxfId="8" priority="7" operator="containsText" text="NO OK">
      <formula>NOT(ISERROR(SEARCH("NO OK",S242)))</formula>
    </cfRule>
  </conditionalFormatting>
  <conditionalFormatting sqref="S246">
    <cfRule type="containsText" dxfId="7" priority="6" operator="containsText" text="NO OK">
      <formula>NOT(ISERROR(SEARCH("NO OK",S246)))</formula>
    </cfRule>
  </conditionalFormatting>
  <conditionalFormatting sqref="S229">
    <cfRule type="cellIs" dxfId="6" priority="5" operator="equal">
      <formula>"NO OK"</formula>
    </cfRule>
  </conditionalFormatting>
  <conditionalFormatting sqref="Q247">
    <cfRule type="containsText" dxfId="5" priority="4" operator="containsText" text="NO">
      <formula>NOT(ISERROR(SEARCH("NO",Q247)))</formula>
    </cfRule>
  </conditionalFormatting>
  <conditionalFormatting sqref="Q247:S247">
    <cfRule type="containsText" dxfId="4" priority="3" operator="containsText" text="SI">
      <formula>NOT(ISERROR(SEARCH("SI",Q247)))</formula>
    </cfRule>
  </conditionalFormatting>
  <conditionalFormatting sqref="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16 S218 S220">
    <cfRule type="containsText" dxfId="3" priority="2" operator="containsText" text="NO OK">
      <formula>NOT(ISERROR(SEARCH("NO OK",S10)))</formula>
    </cfRule>
  </conditionalFormatting>
  <conditionalFormatting sqref="S241">
    <cfRule type="containsText" dxfId="2" priority="1" operator="containsText" text="NO OK">
      <formula>NOT(ISERROR(SEARCH("NO OK",S241)))</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
  <sheetViews>
    <sheetView workbookViewId="0">
      <selection activeCell="I249" sqref="I249"/>
    </sheetView>
  </sheetViews>
  <sheetFormatPr baseColWidth="10" defaultRowHeight="15" x14ac:dyDescent="0.25"/>
  <cols>
    <col min="1" max="1" width="47.28515625" customWidth="1"/>
    <col min="2" max="4" width="20.7109375" customWidth="1"/>
  </cols>
  <sheetData>
    <row r="1" spans="1:4" x14ac:dyDescent="0.25">
      <c r="A1" s="405" t="s">
        <v>14</v>
      </c>
      <c r="B1" s="415"/>
      <c r="C1" s="405"/>
      <c r="D1" s="405"/>
    </row>
    <row r="2" spans="1:4" x14ac:dyDescent="0.25">
      <c r="A2" s="405" t="s">
        <v>42</v>
      </c>
      <c r="B2" s="415"/>
      <c r="C2" s="405"/>
      <c r="D2" s="405"/>
    </row>
    <row r="3" spans="1:4" x14ac:dyDescent="0.25">
      <c r="A3" s="413" t="str">
        <f>+'VERIFICACIÓN TÉCNICA'!A7</f>
        <v>OBJETO: OBRA PARA ADECUACIONES FÍSICAS PARA EL FORTALECIMIENTO DE LA INFRAESTRUCTURA TECNOLÓGICA DE LA UNIVERSIDAD DEL CAUCA.</v>
      </c>
      <c r="B3" s="414"/>
      <c r="C3" s="413"/>
      <c r="D3" s="413"/>
    </row>
    <row r="4" spans="1:4" x14ac:dyDescent="0.25">
      <c r="A4" s="416"/>
      <c r="B4" s="416"/>
      <c r="C4" s="416"/>
      <c r="D4" s="416"/>
    </row>
    <row r="5" spans="1:4" x14ac:dyDescent="0.25">
      <c r="A5" s="413"/>
      <c r="B5" s="414"/>
      <c r="C5" s="413"/>
      <c r="D5" s="413"/>
    </row>
    <row r="7" spans="1:4" ht="30" x14ac:dyDescent="0.25">
      <c r="A7" s="319" t="s">
        <v>30</v>
      </c>
      <c r="B7" s="318" t="s">
        <v>96</v>
      </c>
      <c r="C7" s="318" t="s">
        <v>97</v>
      </c>
      <c r="D7" s="318" t="s">
        <v>98</v>
      </c>
    </row>
    <row r="8" spans="1:4" x14ac:dyDescent="0.25">
      <c r="A8" s="316" t="s">
        <v>466</v>
      </c>
      <c r="B8" s="317" t="s">
        <v>111</v>
      </c>
      <c r="C8" s="317" t="s">
        <v>74</v>
      </c>
      <c r="D8" s="317" t="s">
        <v>74</v>
      </c>
    </row>
    <row r="9" spans="1:4" x14ac:dyDescent="0.25">
      <c r="A9" s="316" t="s">
        <v>467</v>
      </c>
      <c r="B9" s="317" t="s">
        <v>111</v>
      </c>
      <c r="C9" s="317" t="s">
        <v>111</v>
      </c>
      <c r="D9" s="317" t="s">
        <v>111</v>
      </c>
    </row>
    <row r="10" spans="1:4" x14ac:dyDescent="0.25">
      <c r="A10" s="316" t="s">
        <v>468</v>
      </c>
      <c r="B10" s="317" t="s">
        <v>111</v>
      </c>
      <c r="C10" s="317" t="s">
        <v>74</v>
      </c>
      <c r="D10" s="317" t="s">
        <v>74</v>
      </c>
    </row>
    <row r="11" spans="1:4" x14ac:dyDescent="0.25">
      <c r="B11" s="315"/>
      <c r="C11" s="315"/>
      <c r="D11" s="315"/>
    </row>
    <row r="12" spans="1:4" x14ac:dyDescent="0.25">
      <c r="A12" s="316" t="s">
        <v>469</v>
      </c>
      <c r="B12" s="317" t="s">
        <v>111</v>
      </c>
      <c r="C12" s="317" t="s">
        <v>74</v>
      </c>
      <c r="D12" s="317" t="s">
        <v>74</v>
      </c>
    </row>
  </sheetData>
  <mergeCells count="3">
    <mergeCell ref="A1:D1"/>
    <mergeCell ref="A2:D2"/>
    <mergeCell ref="A3:D5"/>
  </mergeCells>
  <conditionalFormatting sqref="B8:D12">
    <cfRule type="cellIs" dxfId="1" priority="1" operator="equal">
      <formula>"NO HABIL"</formula>
    </cfRule>
    <cfRule type="cellIs" dxfId="0" priority="2" operator="equal">
      <formula>"HABIL"</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VERIFICACIÓN TÉCNICA</vt:lpstr>
      <vt:lpstr>VTE</vt:lpstr>
      <vt:lpstr>CALIFICACION PERSONAL</vt:lpstr>
      <vt:lpstr>CORREC. ARITM. GENERAL</vt:lpstr>
      <vt:lpstr>HABILITANTES</vt:lpstr>
      <vt:lpstr>'CALIFICACION PERSONAL'!Área_de_impresión</vt:lpstr>
      <vt:lpstr>'VERIFICACIÓN TÉCNICA'!Área_de_impresión</vt:lpstr>
      <vt:lpstr>VTE!Área_de_impresión</vt:lpstr>
      <vt:lpstr>'VERIFICACIÓN TÉCNICA'!formula</vt:lpstr>
      <vt:lpstr>'CALIFICACION PERSONAL'!Títulos_a_imprimir</vt:lpstr>
      <vt:lpstr>'VERIFICACIÓN TÉCNICA'!Títulos_a_imprimir</vt:lpstr>
      <vt:lpstr>VTE!Títulos_a_imprimir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SAS2020</cp:lastModifiedBy>
  <cp:lastPrinted>2020-05-26T15:55:44Z</cp:lastPrinted>
  <dcterms:created xsi:type="dcterms:W3CDTF">2009-02-06T14:59:26Z</dcterms:created>
  <dcterms:modified xsi:type="dcterms:W3CDTF">2020-11-11T17:00:48Z</dcterms:modified>
</cp:coreProperties>
</file>